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5" windowWidth="19425" windowHeight="10305" firstSheet="2" activeTab="2"/>
  </bookViews>
  <sheets>
    <sheet name="POAI MARZO 31-2020" sheetId="2" r:id="rId1"/>
    <sheet name="MP INDEPORTES" sheetId="25" r:id="rId2"/>
    <sheet name="SGTO PLAN ACCION" sheetId="29" r:id="rId3"/>
  </sheets>
  <definedNames>
    <definedName name="_1._Apoyo_con_equipos_para_la_seguridad_vial_Licenciamiento_de_software_para_comunicaciones" localSheetId="1">#REF!</definedName>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1" hidden="1">'MP INDEPORTES'!$B$15:$V$45</definedName>
    <definedName name="CODIGO_DIVIPOLA" localSheetId="1">#REF!</definedName>
    <definedName name="CODIGO_DIVIPOLA" localSheetId="2">#REF!</definedName>
    <definedName name="CODIGO_DIVIPOLA">#REF!</definedName>
    <definedName name="DboREGISTRO_LEY_617" localSheetId="1">#REF!</definedName>
    <definedName name="DboREGISTRO_LEY_617" localSheetId="2">#REF!</definedName>
    <definedName name="DboREGISTRO_LEY_617">#REF!</definedName>
    <definedName name="ññ" localSheetId="1">#REF!</definedName>
    <definedName name="ññ" localSheetId="2">#REF!</definedName>
    <definedName name="ññ">#REF!</definedName>
  </definedNames>
  <calcPr calcId="152511"/>
  <fileRecoveryPr repairLoad="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7" i="29"/>
  <c r="R38" s="1"/>
  <c r="L36" i="25"/>
  <c r="L34"/>
  <c r="T35"/>
  <c r="S35"/>
  <c r="BG41" i="29" l="1"/>
  <c r="BG37"/>
  <c r="BG24"/>
  <c r="AK13"/>
  <c r="AI13"/>
  <c r="AE13"/>
  <c r="AC13"/>
  <c r="AG31"/>
  <c r="AE31"/>
  <c r="AC31"/>
  <c r="Y43"/>
  <c r="X43"/>
  <c r="W43"/>
  <c r="BG31" l="1"/>
  <c r="BG13"/>
  <c r="L32" i="25"/>
  <c r="L30"/>
  <c r="L27"/>
  <c r="L25"/>
  <c r="L24"/>
  <c r="L22"/>
  <c r="R41" i="29" l="1"/>
  <c r="S31"/>
  <c r="BJ18"/>
  <c r="S21"/>
  <c r="R21" s="1"/>
  <c r="BI18"/>
  <c r="S13"/>
  <c r="R13" s="1"/>
  <c r="BF13"/>
  <c r="BI13"/>
  <c r="BJ13"/>
  <c r="S18"/>
  <c r="R19" s="1"/>
  <c r="BF21"/>
  <c r="BI21"/>
  <c r="BJ21"/>
  <c r="S24"/>
  <c r="BI24"/>
  <c r="BJ24"/>
  <c r="BF31"/>
  <c r="BI31"/>
  <c r="BJ31"/>
  <c r="BF37"/>
  <c r="BI37"/>
  <c r="BJ37"/>
  <c r="BI41"/>
  <c r="BK41" s="1"/>
  <c r="BJ41"/>
  <c r="L29" i="25"/>
  <c r="L20"/>
  <c r="L19"/>
  <c r="L16"/>
  <c r="S24"/>
  <c r="S36"/>
  <c r="S34"/>
  <c r="S26"/>
  <c r="S27"/>
  <c r="S25"/>
  <c r="T27"/>
  <c r="T34"/>
  <c r="T26"/>
  <c r="T21"/>
  <c r="S21"/>
  <c r="S19"/>
  <c r="S20"/>
  <c r="S18"/>
  <c r="BK13" i="29" l="1"/>
  <c r="R27"/>
  <c r="R25"/>
  <c r="R28"/>
  <c r="R26"/>
  <c r="R24"/>
  <c r="R31"/>
  <c r="R35"/>
  <c r="R33"/>
  <c r="R34"/>
  <c r="S43"/>
  <c r="BK37"/>
  <c r="R22"/>
  <c r="R32"/>
  <c r="BK31"/>
  <c r="BK21"/>
  <c r="BK24"/>
  <c r="BK18"/>
  <c r="R16"/>
  <c r="R18"/>
  <c r="R37" i="25"/>
  <c r="Q37"/>
  <c r="P37"/>
  <c r="T36"/>
  <c r="D36"/>
  <c r="D34"/>
  <c r="T33"/>
  <c r="S33"/>
  <c r="T32"/>
  <c r="S32"/>
  <c r="D32"/>
  <c r="T31"/>
  <c r="S31"/>
  <c r="D31"/>
  <c r="T30"/>
  <c r="S30"/>
  <c r="D30"/>
  <c r="T29"/>
  <c r="S29"/>
  <c r="T28"/>
  <c r="S28"/>
  <c r="D27"/>
  <c r="D26"/>
  <c r="T25"/>
  <c r="D25"/>
  <c r="T24"/>
  <c r="T23"/>
  <c r="S23"/>
  <c r="D23"/>
  <c r="T22"/>
  <c r="S22"/>
  <c r="D22"/>
  <c r="T20"/>
  <c r="D20"/>
  <c r="T19"/>
  <c r="D19"/>
  <c r="T18"/>
  <c r="D18"/>
  <c r="T17"/>
  <c r="S17"/>
  <c r="T16"/>
  <c r="S16"/>
  <c r="T37" l="1"/>
  <c r="D37"/>
  <c r="S37"/>
  <c r="U647" i="2"/>
  <c r="T647"/>
  <c r="S647"/>
  <c r="R647"/>
  <c r="Q647"/>
  <c r="P647"/>
  <c r="O647"/>
  <c r="N647"/>
  <c r="M647"/>
  <c r="W643"/>
  <c r="W644" s="1"/>
  <c r="W645" s="1"/>
  <c r="W646" s="1"/>
  <c r="V643"/>
  <c r="V644" s="1"/>
  <c r="V645" s="1"/>
  <c r="V646" s="1"/>
  <c r="Y642"/>
  <c r="Y641"/>
  <c r="W632"/>
  <c r="L631"/>
  <c r="Y630"/>
  <c r="Y629"/>
  <c r="Y628"/>
  <c r="W625"/>
  <c r="Y624"/>
  <c r="Y625" s="1"/>
  <c r="X615"/>
  <c r="X616" s="1"/>
  <c r="X617" s="1"/>
  <c r="X618" s="1"/>
  <c r="X647" s="1"/>
  <c r="W615"/>
  <c r="W616" s="1"/>
  <c r="V615"/>
  <c r="V616" s="1"/>
  <c r="Y614"/>
  <c r="Y615" s="1"/>
  <c r="Y616" s="1"/>
  <c r="V609"/>
  <c r="W608"/>
  <c r="Y608" s="1"/>
  <c r="Y609" s="1"/>
  <c r="V605"/>
  <c r="W604"/>
  <c r="Y603"/>
  <c r="Y602"/>
  <c r="V597"/>
  <c r="Y596"/>
  <c r="W595"/>
  <c r="Y594"/>
  <c r="W591"/>
  <c r="V591"/>
  <c r="Y590"/>
  <c r="Y591" s="1"/>
  <c r="W587"/>
  <c r="V587"/>
  <c r="Y586"/>
  <c r="Y587" s="1"/>
  <c r="V583"/>
  <c r="K583"/>
  <c r="Y582"/>
  <c r="W581"/>
  <c r="W583" s="1"/>
  <c r="X571"/>
  <c r="X572" s="1"/>
  <c r="X573" s="1"/>
  <c r="X574" s="1"/>
  <c r="W571"/>
  <c r="W572" s="1"/>
  <c r="W573" s="1"/>
  <c r="W574" s="1"/>
  <c r="U571"/>
  <c r="U572" s="1"/>
  <c r="U573" s="1"/>
  <c r="U574" s="1"/>
  <c r="T571"/>
  <c r="T572" s="1"/>
  <c r="T573" s="1"/>
  <c r="T574" s="1"/>
  <c r="S571"/>
  <c r="S572" s="1"/>
  <c r="S573" s="1"/>
  <c r="S574" s="1"/>
  <c r="R571"/>
  <c r="R572" s="1"/>
  <c r="R573" s="1"/>
  <c r="R574" s="1"/>
  <c r="Q571"/>
  <c r="Q572" s="1"/>
  <c r="Q573" s="1"/>
  <c r="Q574" s="1"/>
  <c r="P571"/>
  <c r="P572" s="1"/>
  <c r="P573" s="1"/>
  <c r="P574" s="1"/>
  <c r="O571"/>
  <c r="O572" s="1"/>
  <c r="O573" s="1"/>
  <c r="O574" s="1"/>
  <c r="N571"/>
  <c r="N572" s="1"/>
  <c r="N573" s="1"/>
  <c r="N574" s="1"/>
  <c r="M571"/>
  <c r="M572" s="1"/>
  <c r="M573" s="1"/>
  <c r="M574" s="1"/>
  <c r="L571"/>
  <c r="L572" s="1"/>
  <c r="L573" s="1"/>
  <c r="L574" s="1"/>
  <c r="V570"/>
  <c r="Y570" s="1"/>
  <c r="V569"/>
  <c r="Y569" s="1"/>
  <c r="V568"/>
  <c r="U561"/>
  <c r="T561"/>
  <c r="S561"/>
  <c r="S562" s="1"/>
  <c r="X559"/>
  <c r="X560" s="1"/>
  <c r="W559"/>
  <c r="W560" s="1"/>
  <c r="V559"/>
  <c r="V560" s="1"/>
  <c r="U559"/>
  <c r="U560" s="1"/>
  <c r="T559"/>
  <c r="T560" s="1"/>
  <c r="S559"/>
  <c r="S560" s="1"/>
  <c r="R559"/>
  <c r="R560" s="1"/>
  <c r="Q559"/>
  <c r="Q560" s="1"/>
  <c r="P559"/>
  <c r="P560" s="1"/>
  <c r="O559"/>
  <c r="O560" s="1"/>
  <c r="O561" s="1"/>
  <c r="N559"/>
  <c r="N560" s="1"/>
  <c r="N561" s="1"/>
  <c r="M559"/>
  <c r="M560" s="1"/>
  <c r="M561" s="1"/>
  <c r="L559"/>
  <c r="L560" s="1"/>
  <c r="L561" s="1"/>
  <c r="Y558"/>
  <c r="Y559" s="1"/>
  <c r="Y560" s="1"/>
  <c r="X553"/>
  <c r="W553"/>
  <c r="Q553"/>
  <c r="P553"/>
  <c r="V552"/>
  <c r="V551"/>
  <c r="Y551" s="1"/>
  <c r="X548"/>
  <c r="W548"/>
  <c r="V547"/>
  <c r="Y547" s="1"/>
  <c r="V546"/>
  <c r="Y546" s="1"/>
  <c r="X543"/>
  <c r="W543"/>
  <c r="V542"/>
  <c r="X539"/>
  <c r="W539"/>
  <c r="V538"/>
  <c r="X535"/>
  <c r="Q534"/>
  <c r="Q535" s="1"/>
  <c r="P534"/>
  <c r="X529"/>
  <c r="W529"/>
  <c r="Q529"/>
  <c r="V528"/>
  <c r="V529" s="1"/>
  <c r="Q524"/>
  <c r="Y524" s="1"/>
  <c r="Y525" s="1"/>
  <c r="X521"/>
  <c r="W521"/>
  <c r="W530" s="1"/>
  <c r="V520"/>
  <c r="X515"/>
  <c r="W515"/>
  <c r="V515"/>
  <c r="R515"/>
  <c r="Q515"/>
  <c r="P515"/>
  <c r="Y514"/>
  <c r="Y513"/>
  <c r="V512"/>
  <c r="Y512" s="1"/>
  <c r="P508"/>
  <c r="Y508" s="1"/>
  <c r="Y509" s="1"/>
  <c r="Q505"/>
  <c r="P505"/>
  <c r="Y504"/>
  <c r="Y503"/>
  <c r="Y502"/>
  <c r="Y501"/>
  <c r="X498"/>
  <c r="W498"/>
  <c r="R498"/>
  <c r="P498"/>
  <c r="Q497"/>
  <c r="Y496"/>
  <c r="V495"/>
  <c r="Q492"/>
  <c r="P492"/>
  <c r="Y491"/>
  <c r="Y490"/>
  <c r="P487"/>
  <c r="Y486"/>
  <c r="Y485"/>
  <c r="X482"/>
  <c r="W482"/>
  <c r="Q482"/>
  <c r="P482"/>
  <c r="Y481"/>
  <c r="Y480"/>
  <c r="Y479"/>
  <c r="V478"/>
  <c r="Y478" s="1"/>
  <c r="V477"/>
  <c r="Y476"/>
  <c r="P473"/>
  <c r="Y472"/>
  <c r="Y471"/>
  <c r="Y470"/>
  <c r="P467"/>
  <c r="Y466"/>
  <c r="Y465"/>
  <c r="Y464"/>
  <c r="Q461"/>
  <c r="P461"/>
  <c r="Y460"/>
  <c r="Y459"/>
  <c r="Y458"/>
  <c r="Y457"/>
  <c r="Q454"/>
  <c r="P454"/>
  <c r="Y453"/>
  <c r="Y452"/>
  <c r="Q447"/>
  <c r="Q448" s="1"/>
  <c r="P447"/>
  <c r="P448" s="1"/>
  <c r="Y446"/>
  <c r="Y445"/>
  <c r="Y444"/>
  <c r="X435"/>
  <c r="X436" s="1"/>
  <c r="W435"/>
  <c r="W436" s="1"/>
  <c r="V435"/>
  <c r="V436" s="1"/>
  <c r="L435"/>
  <c r="L436" s="1"/>
  <c r="L437" s="1"/>
  <c r="L438" s="1"/>
  <c r="Y434"/>
  <c r="Y433"/>
  <c r="Y432"/>
  <c r="Y431"/>
  <c r="X426"/>
  <c r="W426"/>
  <c r="V426"/>
  <c r="Y425"/>
  <c r="Y426" s="1"/>
  <c r="X422"/>
  <c r="W422"/>
  <c r="V422"/>
  <c r="Y421"/>
  <c r="Y422" s="1"/>
  <c r="X418"/>
  <c r="W418"/>
  <c r="V418"/>
  <c r="Y417"/>
  <c r="Y418" s="1"/>
  <c r="X414"/>
  <c r="W414"/>
  <c r="V414"/>
  <c r="Y413"/>
  <c r="Y414" s="1"/>
  <c r="Y412"/>
  <c r="X409"/>
  <c r="W409"/>
  <c r="Y408"/>
  <c r="V407"/>
  <c r="Y407" s="1"/>
  <c r="X402"/>
  <c r="W402"/>
  <c r="V402"/>
  <c r="Y401"/>
  <c r="Y402" s="1"/>
  <c r="X398"/>
  <c r="W398"/>
  <c r="V398"/>
  <c r="V397"/>
  <c r="Y397" s="1"/>
  <c r="Y398" s="1"/>
  <c r="X394"/>
  <c r="W394"/>
  <c r="V393"/>
  <c r="X390"/>
  <c r="W390"/>
  <c r="V390"/>
  <c r="Y389"/>
  <c r="Y390" s="1"/>
  <c r="X384"/>
  <c r="X385" s="1"/>
  <c r="W384"/>
  <c r="W385" s="1"/>
  <c r="V384"/>
  <c r="V385" s="1"/>
  <c r="Y383"/>
  <c r="Y382"/>
  <c r="X373"/>
  <c r="X374" s="1"/>
  <c r="W373"/>
  <c r="W374" s="1"/>
  <c r="U373"/>
  <c r="U374" s="1"/>
  <c r="T373"/>
  <c r="T374" s="1"/>
  <c r="S373"/>
  <c r="S374" s="1"/>
  <c r="R373"/>
  <c r="R374" s="1"/>
  <c r="O373"/>
  <c r="O374" s="1"/>
  <c r="V372"/>
  <c r="X367"/>
  <c r="W367"/>
  <c r="T367"/>
  <c r="T368" s="1"/>
  <c r="S367"/>
  <c r="S368" s="1"/>
  <c r="R367"/>
  <c r="O367"/>
  <c r="O368" s="1"/>
  <c r="V366"/>
  <c r="Y366" s="1"/>
  <c r="V365"/>
  <c r="R362"/>
  <c r="Y361"/>
  <c r="Y362" s="1"/>
  <c r="X358"/>
  <c r="W358"/>
  <c r="R358"/>
  <c r="V357"/>
  <c r="X354"/>
  <c r="W354"/>
  <c r="V353"/>
  <c r="Y353" s="1"/>
  <c r="Y352"/>
  <c r="X347"/>
  <c r="X348" s="1"/>
  <c r="W347"/>
  <c r="T347"/>
  <c r="T348" s="1"/>
  <c r="S347"/>
  <c r="S348" s="1"/>
  <c r="R347"/>
  <c r="R348" s="1"/>
  <c r="O347"/>
  <c r="O348" s="1"/>
  <c r="V346"/>
  <c r="Y346" s="1"/>
  <c r="V345"/>
  <c r="Y345" s="1"/>
  <c r="V344"/>
  <c r="Y344" s="1"/>
  <c r="V343"/>
  <c r="Y343" s="1"/>
  <c r="W340"/>
  <c r="V339"/>
  <c r="V340" s="1"/>
  <c r="U335"/>
  <c r="Q335"/>
  <c r="P335"/>
  <c r="N335"/>
  <c r="M335"/>
  <c r="L335"/>
  <c r="X334"/>
  <c r="W334"/>
  <c r="T334"/>
  <c r="T335" s="1"/>
  <c r="S334"/>
  <c r="S335" s="1"/>
  <c r="R334"/>
  <c r="O334"/>
  <c r="O335" s="1"/>
  <c r="V333"/>
  <c r="V334" s="1"/>
  <c r="X330"/>
  <c r="W330"/>
  <c r="R329"/>
  <c r="R330" s="1"/>
  <c r="V328"/>
  <c r="Y328" s="1"/>
  <c r="V327"/>
  <c r="Y327" s="1"/>
  <c r="V326"/>
  <c r="Y326" s="1"/>
  <c r="V325"/>
  <c r="Y325" s="1"/>
  <c r="V324"/>
  <c r="X319"/>
  <c r="W319"/>
  <c r="V319"/>
  <c r="T319"/>
  <c r="O319"/>
  <c r="S318"/>
  <c r="S319" s="1"/>
  <c r="S320" s="1"/>
  <c r="R318"/>
  <c r="R319" s="1"/>
  <c r="X315"/>
  <c r="W315"/>
  <c r="V315"/>
  <c r="R315"/>
  <c r="Y314"/>
  <c r="Y313"/>
  <c r="X310"/>
  <c r="W310"/>
  <c r="T310"/>
  <c r="O310"/>
  <c r="V309"/>
  <c r="Y308"/>
  <c r="V307"/>
  <c r="Y307" s="1"/>
  <c r="X298"/>
  <c r="X299" s="1"/>
  <c r="W298"/>
  <c r="W299" s="1"/>
  <c r="V297"/>
  <c r="Y297" s="1"/>
  <c r="Y298" s="1"/>
  <c r="Y299" s="1"/>
  <c r="X292"/>
  <c r="X293" s="1"/>
  <c r="W292"/>
  <c r="W293" s="1"/>
  <c r="V291"/>
  <c r="W282"/>
  <c r="W283" s="1"/>
  <c r="W284" s="1"/>
  <c r="V281"/>
  <c r="Y281" s="1"/>
  <c r="V280"/>
  <c r="Y280" s="1"/>
  <c r="X273"/>
  <c r="W273"/>
  <c r="V273"/>
  <c r="Y272"/>
  <c r="Y271"/>
  <c r="X268"/>
  <c r="W268"/>
  <c r="V267"/>
  <c r="X264"/>
  <c r="W264"/>
  <c r="V264"/>
  <c r="Y263"/>
  <c r="Y262"/>
  <c r="Y261"/>
  <c r="Y260"/>
  <c r="X257"/>
  <c r="W257"/>
  <c r="V256"/>
  <c r="Y256" s="1"/>
  <c r="V255"/>
  <c r="Y255" s="1"/>
  <c r="V254"/>
  <c r="Y254" s="1"/>
  <c r="V247"/>
  <c r="Y246"/>
  <c r="Y245"/>
  <c r="Y244"/>
  <c r="Y243"/>
  <c r="X240"/>
  <c r="W240"/>
  <c r="V240"/>
  <c r="Y239"/>
  <c r="Y240" s="1"/>
  <c r="X236"/>
  <c r="W236"/>
  <c r="Y235"/>
  <c r="V234"/>
  <c r="Y234" s="1"/>
  <c r="Y233"/>
  <c r="X224"/>
  <c r="W224"/>
  <c r="V224"/>
  <c r="Y223"/>
  <c r="Y224" s="1"/>
  <c r="X220"/>
  <c r="W220"/>
  <c r="V219"/>
  <c r="X214"/>
  <c r="W214"/>
  <c r="V214"/>
  <c r="Y213"/>
  <c r="Y212"/>
  <c r="X209"/>
  <c r="W209"/>
  <c r="Y208"/>
  <c r="Y207"/>
  <c r="V206"/>
  <c r="V209" s="1"/>
  <c r="X203"/>
  <c r="W203"/>
  <c r="V202"/>
  <c r="Y201"/>
  <c r="X192"/>
  <c r="W192"/>
  <c r="V192"/>
  <c r="M192"/>
  <c r="M193" s="1"/>
  <c r="M194" s="1"/>
  <c r="M195" s="1"/>
  <c r="L192"/>
  <c r="L193" s="1"/>
  <c r="Y191"/>
  <c r="Y190"/>
  <c r="X187"/>
  <c r="W187"/>
  <c r="V187"/>
  <c r="Y186"/>
  <c r="Y187" s="1"/>
  <c r="L182"/>
  <c r="L181"/>
  <c r="Y180"/>
  <c r="Y181" s="1"/>
  <c r="X177"/>
  <c r="W177"/>
  <c r="V177"/>
  <c r="Y176"/>
  <c r="Y177" s="1"/>
  <c r="X173"/>
  <c r="W173"/>
  <c r="L173"/>
  <c r="Y172"/>
  <c r="Y171"/>
  <c r="V170"/>
  <c r="Y169"/>
  <c r="M162"/>
  <c r="X160"/>
  <c r="W160"/>
  <c r="W161" s="1"/>
  <c r="M160"/>
  <c r="M161" s="1"/>
  <c r="V159"/>
  <c r="V160" s="1"/>
  <c r="X156"/>
  <c r="W156"/>
  <c r="V155"/>
  <c r="Y155" s="1"/>
  <c r="V154"/>
  <c r="Y154" s="1"/>
  <c r="V153"/>
  <c r="Y153" s="1"/>
  <c r="V152"/>
  <c r="Y152" s="1"/>
  <c r="X147"/>
  <c r="X148" s="1"/>
  <c r="W147"/>
  <c r="W148" s="1"/>
  <c r="V146"/>
  <c r="Y146" s="1"/>
  <c r="Y147" s="1"/>
  <c r="Y148" s="1"/>
  <c r="A146"/>
  <c r="M140"/>
  <c r="X139"/>
  <c r="W139"/>
  <c r="W140" s="1"/>
  <c r="M139"/>
  <c r="V138"/>
  <c r="V139" s="1"/>
  <c r="X135"/>
  <c r="W135"/>
  <c r="V134"/>
  <c r="Y134" s="1"/>
  <c r="V133"/>
  <c r="Y133" s="1"/>
  <c r="Y132"/>
  <c r="V132"/>
  <c r="V131"/>
  <c r="Y131" s="1"/>
  <c r="M127"/>
  <c r="X126"/>
  <c r="X127" s="1"/>
  <c r="W126"/>
  <c r="W127" s="1"/>
  <c r="Y125"/>
  <c r="V124"/>
  <c r="Y120"/>
  <c r="V119"/>
  <c r="Y118"/>
  <c r="Y117"/>
  <c r="Y116"/>
  <c r="X111"/>
  <c r="X112" s="1"/>
  <c r="W111"/>
  <c r="W112" s="1"/>
  <c r="O111"/>
  <c r="O112" s="1"/>
  <c r="N111"/>
  <c r="N112" s="1"/>
  <c r="M111"/>
  <c r="V110"/>
  <c r="Y110" s="1"/>
  <c r="V109"/>
  <c r="M105"/>
  <c r="V104"/>
  <c r="Y104" s="1"/>
  <c r="V103"/>
  <c r="Y103" s="1"/>
  <c r="T95"/>
  <c r="T96" s="1"/>
  <c r="X94"/>
  <c r="X95" s="1"/>
  <c r="X96" s="1"/>
  <c r="W94"/>
  <c r="W95" s="1"/>
  <c r="W96" s="1"/>
  <c r="V94"/>
  <c r="V95" s="1"/>
  <c r="V96" s="1"/>
  <c r="U94"/>
  <c r="U95" s="1"/>
  <c r="U96" s="1"/>
  <c r="T94"/>
  <c r="S94"/>
  <c r="S95" s="1"/>
  <c r="S96" s="1"/>
  <c r="R94"/>
  <c r="R95" s="1"/>
  <c r="R96" s="1"/>
  <c r="Q94"/>
  <c r="Q95" s="1"/>
  <c r="Q96" s="1"/>
  <c r="P94"/>
  <c r="P95" s="1"/>
  <c r="P96" s="1"/>
  <c r="O94"/>
  <c r="O95" s="1"/>
  <c r="O96" s="1"/>
  <c r="N94"/>
  <c r="N95" s="1"/>
  <c r="N96" s="1"/>
  <c r="M94"/>
  <c r="M95" s="1"/>
  <c r="M96" s="1"/>
  <c r="L94"/>
  <c r="L95" s="1"/>
  <c r="L96" s="1"/>
  <c r="Y93"/>
  <c r="Y92"/>
  <c r="Y91"/>
  <c r="Y90"/>
  <c r="Y89"/>
  <c r="Y88"/>
  <c r="X81"/>
  <c r="W81"/>
  <c r="U81"/>
  <c r="T81"/>
  <c r="S81"/>
  <c r="R81"/>
  <c r="Q81"/>
  <c r="P81"/>
  <c r="O81"/>
  <c r="N81"/>
  <c r="M81"/>
  <c r="M82" s="1"/>
  <c r="M83" s="1"/>
  <c r="L80"/>
  <c r="V79"/>
  <c r="Y79" s="1"/>
  <c r="Y78"/>
  <c r="Y77"/>
  <c r="X74"/>
  <c r="W74"/>
  <c r="U74"/>
  <c r="T74"/>
  <c r="S74"/>
  <c r="R74"/>
  <c r="Q74"/>
  <c r="P74"/>
  <c r="O74"/>
  <c r="N74"/>
  <c r="V73"/>
  <c r="V74" s="1"/>
  <c r="X64"/>
  <c r="X65" s="1"/>
  <c r="X66" s="1"/>
  <c r="X67" s="1"/>
  <c r="W64"/>
  <c r="W65" s="1"/>
  <c r="W66" s="1"/>
  <c r="W67" s="1"/>
  <c r="V63"/>
  <c r="Y63" s="1"/>
  <c r="Y62"/>
  <c r="V61"/>
  <c r="Y60"/>
  <c r="X51"/>
  <c r="X52" s="1"/>
  <c r="W51"/>
  <c r="W52" s="1"/>
  <c r="V50"/>
  <c r="Y50" s="1"/>
  <c r="V49"/>
  <c r="Y49" s="1"/>
  <c r="Y48"/>
  <c r="Y47"/>
  <c r="Y46"/>
  <c r="Y45"/>
  <c r="Y44"/>
  <c r="Y43"/>
  <c r="Y42"/>
  <c r="Y41"/>
  <c r="Y40"/>
  <c r="Y39"/>
  <c r="V38"/>
  <c r="Y38" s="1"/>
  <c r="V32"/>
  <c r="Y32" s="1"/>
  <c r="Y33" s="1"/>
  <c r="Y34" s="1"/>
  <c r="V27"/>
  <c r="Y26"/>
  <c r="Y27" s="1"/>
  <c r="V23"/>
  <c r="Y22"/>
  <c r="Y23" s="1"/>
  <c r="Y28" s="1"/>
  <c r="X13"/>
  <c r="X14" s="1"/>
  <c r="X15" s="1"/>
  <c r="X16" s="1"/>
  <c r="Y12"/>
  <c r="Y11"/>
  <c r="V10"/>
  <c r="V13" s="1"/>
  <c r="V14" s="1"/>
  <c r="V15" s="1"/>
  <c r="V16" s="1"/>
  <c r="Y138" l="1"/>
  <c r="Y139" s="1"/>
  <c r="X335"/>
  <c r="Y159"/>
  <c r="Y160" s="1"/>
  <c r="O82"/>
  <c r="O83" s="1"/>
  <c r="O97" s="1"/>
  <c r="S82"/>
  <c r="S83" s="1"/>
  <c r="X82"/>
  <c r="X83" s="1"/>
  <c r="Y264"/>
  <c r="Y534"/>
  <c r="Y535" s="1"/>
  <c r="V28"/>
  <c r="W193"/>
  <c r="V298"/>
  <c r="V299" s="1"/>
  <c r="Y354"/>
  <c r="T320"/>
  <c r="V64"/>
  <c r="V65" s="1"/>
  <c r="V66" s="1"/>
  <c r="V67" s="1"/>
  <c r="Y192"/>
  <c r="Y193" s="1"/>
  <c r="Y257"/>
  <c r="Y505"/>
  <c r="Y515"/>
  <c r="M97"/>
  <c r="W162"/>
  <c r="Y73"/>
  <c r="Y74" s="1"/>
  <c r="N82"/>
  <c r="N83" s="1"/>
  <c r="P82"/>
  <c r="P83" s="1"/>
  <c r="R82"/>
  <c r="R83" s="1"/>
  <c r="R97" s="1"/>
  <c r="T82"/>
  <c r="T83" s="1"/>
  <c r="W82"/>
  <c r="W83" s="1"/>
  <c r="V147"/>
  <c r="V148" s="1"/>
  <c r="Y206"/>
  <c r="Y209" s="1"/>
  <c r="Y214"/>
  <c r="X320"/>
  <c r="Y329"/>
  <c r="Y333"/>
  <c r="Y334" s="1"/>
  <c r="R335"/>
  <c r="Y339"/>
  <c r="Y340" s="1"/>
  <c r="X368"/>
  <c r="X375" s="1"/>
  <c r="X376" s="1"/>
  <c r="Y384"/>
  <c r="Y385" s="1"/>
  <c r="V482"/>
  <c r="Y487"/>
  <c r="Y492"/>
  <c r="R516"/>
  <c r="R561" s="1"/>
  <c r="R562" s="1"/>
  <c r="Q525"/>
  <c r="Y528"/>
  <c r="Y529" s="1"/>
  <c r="X530"/>
  <c r="Y581"/>
  <c r="Y583" s="1"/>
  <c r="W633"/>
  <c r="W634" s="1"/>
  <c r="W635" s="1"/>
  <c r="V33"/>
  <c r="V34" s="1"/>
  <c r="V81"/>
  <c r="V82" s="1"/>
  <c r="V83" s="1"/>
  <c r="Q97"/>
  <c r="T97"/>
  <c r="V111"/>
  <c r="Y109"/>
  <c r="Y111" s="1"/>
  <c r="V156"/>
  <c r="V161" s="1"/>
  <c r="V173"/>
  <c r="V182" s="1"/>
  <c r="Y170"/>
  <c r="R320"/>
  <c r="Y318"/>
  <c r="Y319" s="1"/>
  <c r="W368"/>
  <c r="U375"/>
  <c r="U376" s="1"/>
  <c r="V394"/>
  <c r="V403" s="1"/>
  <c r="Y393"/>
  <c r="Y394" s="1"/>
  <c r="Y403" s="1"/>
  <c r="X403"/>
  <c r="W427"/>
  <c r="V521"/>
  <c r="Y520"/>
  <c r="Y521" s="1"/>
  <c r="X554"/>
  <c r="V571"/>
  <c r="V572" s="1"/>
  <c r="V573" s="1"/>
  <c r="V574" s="1"/>
  <c r="Y568"/>
  <c r="Y571" s="1"/>
  <c r="Y572" s="1"/>
  <c r="Y573" s="1"/>
  <c r="Y574" s="1"/>
  <c r="W609"/>
  <c r="Y10"/>
  <c r="Y13" s="1"/>
  <c r="Y14" s="1"/>
  <c r="Y15" s="1"/>
  <c r="Y16" s="1"/>
  <c r="Q82"/>
  <c r="Q83" s="1"/>
  <c r="U82"/>
  <c r="U83" s="1"/>
  <c r="U97" s="1"/>
  <c r="Y94"/>
  <c r="Y95" s="1"/>
  <c r="Y96" s="1"/>
  <c r="V121"/>
  <c r="Y119"/>
  <c r="Y121" s="1"/>
  <c r="V135"/>
  <c r="V140" s="1"/>
  <c r="V193"/>
  <c r="V194" s="1"/>
  <c r="V195" s="1"/>
  <c r="Y347"/>
  <c r="Y495"/>
  <c r="V498"/>
  <c r="Q498"/>
  <c r="Q516" s="1"/>
  <c r="Y497"/>
  <c r="P509"/>
  <c r="P516" s="1"/>
  <c r="X516"/>
  <c r="Q530"/>
  <c r="P535"/>
  <c r="P554" s="1"/>
  <c r="Y538"/>
  <c r="Y539" s="1"/>
  <c r="V539"/>
  <c r="W597"/>
  <c r="W598" s="1"/>
  <c r="Y595"/>
  <c r="Y597" s="1"/>
  <c r="X140"/>
  <c r="X141" s="1"/>
  <c r="X161"/>
  <c r="Y173"/>
  <c r="Y182" s="1"/>
  <c r="X182"/>
  <c r="L194"/>
  <c r="L195" s="1"/>
  <c r="W225"/>
  <c r="Y273"/>
  <c r="W274"/>
  <c r="W275" s="1"/>
  <c r="W285" s="1"/>
  <c r="Y282"/>
  <c r="Y283" s="1"/>
  <c r="Y284" s="1"/>
  <c r="V310"/>
  <c r="V320" s="1"/>
  <c r="O320"/>
  <c r="O375" s="1"/>
  <c r="O376" s="1"/>
  <c r="W320"/>
  <c r="W335"/>
  <c r="V347"/>
  <c r="V348" s="1"/>
  <c r="W348"/>
  <c r="S375"/>
  <c r="S376" s="1"/>
  <c r="W403"/>
  <c r="Y409"/>
  <c r="Y427" s="1"/>
  <c r="X427"/>
  <c r="X437" s="1"/>
  <c r="X438" s="1"/>
  <c r="Y447"/>
  <c r="Y448" s="1"/>
  <c r="Y454"/>
  <c r="Y461"/>
  <c r="Y467"/>
  <c r="Y473"/>
  <c r="W516"/>
  <c r="W554"/>
  <c r="V598"/>
  <c r="V610"/>
  <c r="Y643"/>
  <c r="Y644" s="1"/>
  <c r="Y645" s="1"/>
  <c r="Y646" s="1"/>
  <c r="N97"/>
  <c r="N575" s="1"/>
  <c r="N648" s="1"/>
  <c r="V97"/>
  <c r="Y51"/>
  <c r="Y52" s="1"/>
  <c r="Y53" s="1"/>
  <c r="Y54" s="1"/>
  <c r="W97"/>
  <c r="V126"/>
  <c r="Y124"/>
  <c r="Y126" s="1"/>
  <c r="L81"/>
  <c r="L82" s="1"/>
  <c r="L83" s="1"/>
  <c r="L97" s="1"/>
  <c r="L575" s="1"/>
  <c r="Y80"/>
  <c r="Y81" s="1"/>
  <c r="Y82" s="1"/>
  <c r="Y83" s="1"/>
  <c r="P97"/>
  <c r="X97"/>
  <c r="Y135"/>
  <c r="Y140" s="1"/>
  <c r="W141"/>
  <c r="V51"/>
  <c r="V52" s="1"/>
  <c r="S97"/>
  <c r="X225"/>
  <c r="Y552"/>
  <c r="Y553" s="1"/>
  <c r="V553"/>
  <c r="M106"/>
  <c r="M112" s="1"/>
  <c r="M141" s="1"/>
  <c r="M163" s="1"/>
  <c r="Y105"/>
  <c r="Y106" s="1"/>
  <c r="V203"/>
  <c r="V215" s="1"/>
  <c r="Y202"/>
  <c r="Y203" s="1"/>
  <c r="W215"/>
  <c r="X274"/>
  <c r="X275" s="1"/>
  <c r="V292"/>
  <c r="V293" s="1"/>
  <c r="Y291"/>
  <c r="Y292" s="1"/>
  <c r="Y293" s="1"/>
  <c r="Y300" s="1"/>
  <c r="Y301" s="1"/>
  <c r="W300"/>
  <c r="W301" s="1"/>
  <c r="Y309"/>
  <c r="Y310" s="1"/>
  <c r="R368"/>
  <c r="R375" s="1"/>
  <c r="R376" s="1"/>
  <c r="V543"/>
  <c r="Y542"/>
  <c r="Y543" s="1"/>
  <c r="Y61"/>
  <c r="Y64" s="1"/>
  <c r="Y65" s="1"/>
  <c r="Y66" s="1"/>
  <c r="Y67" s="1"/>
  <c r="V106"/>
  <c r="X193"/>
  <c r="X194" s="1"/>
  <c r="X195" s="1"/>
  <c r="X215"/>
  <c r="V220"/>
  <c r="V225" s="1"/>
  <c r="Y219"/>
  <c r="Y220" s="1"/>
  <c r="Y225" s="1"/>
  <c r="V236"/>
  <c r="V248" s="1"/>
  <c r="V249" s="1"/>
  <c r="Y247"/>
  <c r="V257"/>
  <c r="V268"/>
  <c r="Y267"/>
  <c r="Y268" s="1"/>
  <c r="V282"/>
  <c r="V283" s="1"/>
  <c r="V284" s="1"/>
  <c r="X300"/>
  <c r="X301" s="1"/>
  <c r="Y365"/>
  <c r="Y367" s="1"/>
  <c r="V367"/>
  <c r="T375"/>
  <c r="T376" s="1"/>
  <c r="T575" s="1"/>
  <c r="T648" s="1"/>
  <c r="Y156"/>
  <c r="Y161" s="1"/>
  <c r="Y162" s="1"/>
  <c r="X162"/>
  <c r="W182"/>
  <c r="Y236"/>
  <c r="Y315"/>
  <c r="V330"/>
  <c r="V335" s="1"/>
  <c r="Y357"/>
  <c r="Y358" s="1"/>
  <c r="V358"/>
  <c r="V373"/>
  <c r="V374" s="1"/>
  <c r="Y372"/>
  <c r="Y373" s="1"/>
  <c r="Y374" s="1"/>
  <c r="Q554"/>
  <c r="Y324"/>
  <c r="Y330" s="1"/>
  <c r="Y335" s="1"/>
  <c r="V354"/>
  <c r="Y435"/>
  <c r="Y436" s="1"/>
  <c r="V530"/>
  <c r="Y548"/>
  <c r="W605"/>
  <c r="Y604"/>
  <c r="Y605" s="1"/>
  <c r="Y610" s="1"/>
  <c r="V617"/>
  <c r="V618" s="1"/>
  <c r="V647" s="1"/>
  <c r="L632"/>
  <c r="L633" s="1"/>
  <c r="L634" s="1"/>
  <c r="L635" s="1"/>
  <c r="L647" s="1"/>
  <c r="Y631"/>
  <c r="Y632" s="1"/>
  <c r="Y633" s="1"/>
  <c r="Y634" s="1"/>
  <c r="Y635" s="1"/>
  <c r="V409"/>
  <c r="V427" s="1"/>
  <c r="V548"/>
  <c r="Y477"/>
  <c r="Y482" s="1"/>
  <c r="O575" l="1"/>
  <c r="O648" s="1"/>
  <c r="Y97"/>
  <c r="W610"/>
  <c r="W617" s="1"/>
  <c r="W618" s="1"/>
  <c r="W647" s="1"/>
  <c r="Y598"/>
  <c r="V516"/>
  <c r="L648"/>
  <c r="R575"/>
  <c r="R648" s="1"/>
  <c r="V300"/>
  <c r="V301" s="1"/>
  <c r="U575"/>
  <c r="U648" s="1"/>
  <c r="V127"/>
  <c r="P561"/>
  <c r="P562" s="1"/>
  <c r="P575" s="1"/>
  <c r="P648" s="1"/>
  <c r="W437"/>
  <c r="W438" s="1"/>
  <c r="W194"/>
  <c r="W195" s="1"/>
  <c r="Y274"/>
  <c r="Y275" s="1"/>
  <c r="M575"/>
  <c r="M648" s="1"/>
  <c r="V162"/>
  <c r="V274"/>
  <c r="V275" s="1"/>
  <c r="X561"/>
  <c r="X562" s="1"/>
  <c r="Q561"/>
  <c r="Q562" s="1"/>
  <c r="Q575" s="1"/>
  <c r="Q648" s="1"/>
  <c r="V112"/>
  <c r="Y215"/>
  <c r="Y226" s="1"/>
  <c r="Y227" s="1"/>
  <c r="Y112"/>
  <c r="V53"/>
  <c r="V54" s="1"/>
  <c r="W163"/>
  <c r="W561"/>
  <c r="W562" s="1"/>
  <c r="Y498"/>
  <c r="Y516" s="1"/>
  <c r="Y348"/>
  <c r="Y530"/>
  <c r="W375"/>
  <c r="W376" s="1"/>
  <c r="Y194"/>
  <c r="Y195" s="1"/>
  <c r="Y320"/>
  <c r="V437"/>
  <c r="V438" s="1"/>
  <c r="Y617"/>
  <c r="Y618" s="1"/>
  <c r="Y647" s="1"/>
  <c r="W226"/>
  <c r="W227" s="1"/>
  <c r="S575"/>
  <c r="S648" s="1"/>
  <c r="V368"/>
  <c r="V375" s="1"/>
  <c r="V376" s="1"/>
  <c r="V285"/>
  <c r="V226"/>
  <c r="V227" s="1"/>
  <c r="Y437"/>
  <c r="Y438" s="1"/>
  <c r="X163"/>
  <c r="Y368"/>
  <c r="Y248"/>
  <c r="Y249" s="1"/>
  <c r="V554"/>
  <c r="V561" s="1"/>
  <c r="V562" s="1"/>
  <c r="X226"/>
  <c r="X227" s="1"/>
  <c r="Y127"/>
  <c r="Y554"/>
  <c r="Y561" s="1"/>
  <c r="Y562" s="1"/>
  <c r="V141"/>
  <c r="V163" s="1"/>
  <c r="Y141" l="1"/>
  <c r="Y163" s="1"/>
  <c r="X575"/>
  <c r="X648" s="1"/>
  <c r="Y285"/>
  <c r="W575"/>
  <c r="W648" s="1"/>
  <c r="Y375"/>
  <c r="Y376" s="1"/>
  <c r="Y575" s="1"/>
  <c r="Y648" s="1"/>
  <c r="V575"/>
  <c r="V648" s="1"/>
</calcChain>
</file>

<file path=xl/sharedStrings.xml><?xml version="1.0" encoding="utf-8"?>
<sst xmlns="http://schemas.openxmlformats.org/spreadsheetml/2006/main" count="1678" uniqueCount="951">
  <si>
    <t>FORMATO</t>
  </si>
  <si>
    <t>Código F-PLA-47</t>
  </si>
  <si>
    <t>Versión: 02</t>
  </si>
  <si>
    <t xml:space="preserve">Estado de Ejecución Metas y Proyectos
</t>
  </si>
  <si>
    <t>Fecha: 19/03/2019</t>
  </si>
  <si>
    <t>Página 1 de 1</t>
  </si>
  <si>
    <t>I Trimestre 2020</t>
  </si>
  <si>
    <t>PROYECTO</t>
  </si>
  <si>
    <t>IMPUTACION</t>
  </si>
  <si>
    <t>VALOR PROYECTO</t>
  </si>
  <si>
    <t>No. DE METAS</t>
  </si>
  <si>
    <t xml:space="preserve">CODIGO META PRODUCTO </t>
  </si>
  <si>
    <t xml:space="preserve">META PRODUCTO </t>
  </si>
  <si>
    <t>INDICADORES</t>
  </si>
  <si>
    <t>TIPO DE META
*M/I</t>
  </si>
  <si>
    <t xml:space="preserve">SEMAFORO </t>
  </si>
  <si>
    <t>NOMBRE FUENTE</t>
  </si>
  <si>
    <t xml:space="preserve">RUBRO
 PRESUPUESTAL </t>
  </si>
  <si>
    <t>CODIGO
FUENTE</t>
  </si>
  <si>
    <t>PRESUPUESTO DEFINITIVO</t>
  </si>
  <si>
    <t>SEMAFORO (COMPROMISO):</t>
  </si>
  <si>
    <t>SEMAFORO (OBLIGACION):</t>
  </si>
  <si>
    <t>OBSERVACIONES</t>
  </si>
  <si>
    <t xml:space="preserve">Verde Oscuro  (80%  - 100%) </t>
  </si>
  <si>
    <t xml:space="preserve">  Verde Claro (70% - 79%)</t>
  </si>
  <si>
    <t xml:space="preserve"> Amarillo (60%  - 69%) </t>
  </si>
  <si>
    <t xml:space="preserve">  Naranja (40% - 59%) </t>
  </si>
  <si>
    <t xml:space="preserve"> Rojo (0% - 39%)</t>
  </si>
  <si>
    <t>(Compromiso/Ppto Definitivo)</t>
  </si>
  <si>
    <t>Implementar 4 procesos de fiscalización de las Rentas Departamentales</t>
  </si>
  <si>
    <t>M</t>
  </si>
  <si>
    <t>Implementar una estrategia de cobro coactivo sobre la cartera morosa de las Rentas Departamentales.</t>
  </si>
  <si>
    <t xml:space="preserve">Ejecutar el programa anti contrabando suscrito con la Federación Nacional de Departamentos.                               </t>
  </si>
  <si>
    <t>TOTAL</t>
  </si>
  <si>
    <t>* Tipo de Meta M: Mantenimiento I: Incremento</t>
  </si>
  <si>
    <t>SEMAFOROS</t>
  </si>
  <si>
    <t xml:space="preserve"> METAS PRODUCTO</t>
  </si>
  <si>
    <t>%</t>
  </si>
  <si>
    <t>Satisfactorio (Entre 70% -79,99%)</t>
  </si>
  <si>
    <t>Medio (Entre 60%-69,99%)</t>
  </si>
  <si>
    <t>Bajo (Entre 40% - 59,99%)</t>
  </si>
  <si>
    <t>Critico (Entre 0% - 39,99%)</t>
  </si>
  <si>
    <t>PLAN OPERATIVO ANUAL DE INVERSIONES -POAI-
 MARZO 31  DE 2020</t>
  </si>
  <si>
    <t xml:space="preserve">CODIGO:  </t>
  </si>
  <si>
    <t>F-PLA-42</t>
  </si>
  <si>
    <t xml:space="preserve">VERSIÓN: </t>
  </si>
  <si>
    <t xml:space="preserve">FECHA: </t>
  </si>
  <si>
    <t>Septiembre 11 de 2019</t>
  </si>
  <si>
    <t>PÁGINA:</t>
  </si>
  <si>
    <t>1 de 1</t>
  </si>
  <si>
    <t>ESTRATEGIA</t>
  </si>
  <si>
    <t>PROGRAMA</t>
  </si>
  <si>
    <t>META DE RESULTADO</t>
  </si>
  <si>
    <t>SUB PROGRAMA</t>
  </si>
  <si>
    <t>META PRODUCTO</t>
  </si>
  <si>
    <t xml:space="preserve">CÓDIGO SECTOR </t>
  </si>
  <si>
    <t>CÓDIGO</t>
  </si>
  <si>
    <t xml:space="preserve">NOMBRE DEL PROYECTO </t>
  </si>
  <si>
    <t>TIPO DE META</t>
  </si>
  <si>
    <t xml:space="preserve">ESTAMPILLAS 
PRO - CULTURA
PRO - ADULTO MAYOR
PRO - DESARROLLO
 </t>
  </si>
  <si>
    <t xml:space="preserve">CONTRIBUCION ESPECIAL
(FONDO DE SEGURIDAD 5%) 
 </t>
  </si>
  <si>
    <t xml:space="preserve">SOBRETASA AL ACPM  
</t>
  </si>
  <si>
    <t xml:space="preserve">MONOPOLIO EDUCACIÓN  51% DESTINACION ESPECIFICA
 </t>
  </si>
  <si>
    <t xml:space="preserve">SGP SALÚD PUBLICA - PRESTACIÓN DE SERVICIOS
 </t>
  </si>
  <si>
    <t>FONDO LOCAL DE SALUD  - MONOPOLIO RENTAS CEDIDAS -LOTERIAS-RIFAS-PREMIO</t>
  </si>
  <si>
    <t xml:space="preserve">SGP PRESTACIÓN DE SERVICIOS - EDUCACIÓN  - Y CONECTIVIDAD
</t>
  </si>
  <si>
    <t>SGP APORTES PATRONALES - CANCELACIÓN DE PRESTACIONES SOCIALES -EDUCACIÓN</t>
  </si>
  <si>
    <t xml:space="preserve">FONDO DE EDUCACION,  PAE, CONVENIO MEN 
</t>
  </si>
  <si>
    <t xml:space="preserve">SGP AGUA POTABLE Y SANEAMIENTO BÁSICO
</t>
  </si>
  <si>
    <t xml:space="preserve">RECURSO ORDINARIO
</t>
  </si>
  <si>
    <t xml:space="preserve">OTROS (IVA TELEFONIA MÓVIL  - REGISTRO - LEY 1816 (3% MONOPOLIO LICORES) (DEPORTES)  </t>
  </si>
  <si>
    <t>NACIÓN  - COFINANCIACIÓN
CONV ANTICONTRABANDO</t>
  </si>
  <si>
    <t xml:space="preserve">TOTAL
</t>
  </si>
  <si>
    <t>DECRETO 128 12/02/2020</t>
  </si>
  <si>
    <t>DECRETO 203 18/03/2020</t>
  </si>
  <si>
    <t>304 -Secretaría Administrativa</t>
  </si>
  <si>
    <t>BUEN GOBIERNO</t>
  </si>
  <si>
    <t>Gestión Territorial</t>
  </si>
  <si>
    <t>Modernización tecnológica y Administrativa</t>
  </si>
  <si>
    <t>Consolidar mecanismos de integración regional y municipal</t>
  </si>
  <si>
    <t>Formular e  implementar un (1) programa de seguridad y salud en el trabajo, capacitación y bienestar social en  el departamento</t>
  </si>
  <si>
    <t xml:space="preserve">17. Fortalecimiento institucional </t>
  </si>
  <si>
    <t>201663000-0002</t>
  </si>
  <si>
    <t>Formulación e implementación del programa de seguridad y salud en el trabajo, capacitación y bienestar social en el Departamento del Quindio</t>
  </si>
  <si>
    <t>Implementar un programa de actualización y registro de los bienes de propiedad del departamento</t>
  </si>
  <si>
    <t>201663000-0005</t>
  </si>
  <si>
    <t>Implementación de un programa  de  modernización de la gestión administrativa en el Departamento del Quindio</t>
  </si>
  <si>
    <t>Implementar un (1) programa de modernización de la gestión documental en el departamento</t>
  </si>
  <si>
    <t>305 Secretaría de Planeación</t>
  </si>
  <si>
    <t>Quindío Transparente y Legal</t>
  </si>
  <si>
    <t>Quindío Ejemplar y Legal</t>
  </si>
  <si>
    <t>Elevar el promedio de la participación de la ciudadania en los procesos de elección popular en el cuatrenio</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</si>
  <si>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</si>
  <si>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</si>
  <si>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</si>
  <si>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</si>
  <si>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</si>
  <si>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</si>
  <si>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 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</si>
  <si>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</si>
  <si>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</si>
  <si>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</si>
  <si>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</si>
  <si>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</si>
  <si>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</si>
  <si>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</si>
  <si>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Formular  e implementar el  Plan de Desarrollo Departamental</t>
  </si>
  <si>
    <t>201900363-0002</t>
  </si>
  <si>
    <t>Formulación  e implementación del  Plan de Desarrollo Departamental 2020-2023</t>
  </si>
  <si>
    <t>I</t>
  </si>
  <si>
    <t>Diseñar e implementar el Plan de Ordenamiento del Departamento del Quindio.</t>
  </si>
  <si>
    <t>201663000-0009</t>
  </si>
  <si>
    <t>Diseño e implementación instrumentos de  planificación para el  ordenamiento  territorial, social y económico del  Departamento del Quindio</t>
  </si>
  <si>
    <t xml:space="preserve">Fortalecer el  Sistema de Información Geográfica del Departamento del Quindío  </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</si>
  <si>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</si>
  <si>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</si>
  <si>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</si>
  <si>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</si>
  <si>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</si>
  <si>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</si>
  <si>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</si>
  <si>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</si>
  <si>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</si>
  <si>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</si>
  <si>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Implementar en doce (12) municipios del Departamento procesos de capacitación,   asistencia técnica,  seguimiento  y evaluación   de los    Planes  (Básicos y/o esquemas) Ordenamiento   Territorial</t>
  </si>
  <si>
    <t>201663000-0014</t>
  </si>
  <si>
    <t>Asistencia  técnica, seguimiento y evaluación  de la gestión  territorial en los  munipicios del Departamento del  Quindío.</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</si>
  <si>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</si>
  <si>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</si>
  <si>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</si>
  <si>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</si>
  <si>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</si>
  <si>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</si>
  <si>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307 Secretaría de Hacienda</t>
  </si>
  <si>
    <t>Gestión Tributaria y Financiera</t>
  </si>
  <si>
    <t>201663000-0016</t>
  </si>
  <si>
    <t xml:space="preserve"> Mejoramiento de la sostenibilidad de los procesos de fiscalización liquidación control y cobranza de los tributos en el Departamento del Quindío</t>
  </si>
  <si>
    <t xml:space="preserve">Implementar un programa para el cumplimiento de las políticas y prácticas contables para la administración departamental         </t>
  </si>
  <si>
    <t>201663000-0017</t>
  </si>
  <si>
    <t xml:space="preserve">Implementación de un programa de gestión fianciera para la optimización de los procesos en el area de tesorería, presupuesto y contabilidad en el Departamento del Quindio </t>
  </si>
  <si>
    <t xml:space="preserve">308 Secretaría de Aguas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</si>
  <si>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</si>
  <si>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</si>
  <si>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</si>
  <si>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</si>
  <si>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</si>
  <si>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</si>
  <si>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</si>
  <si>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</si>
  <si>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Mejora de la Infraestructura  Social del Departamento del Quindío</t>
  </si>
  <si>
    <t xml:space="preserve"> Declarar al departamento libre de analfabetismo</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</si>
  <si>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</si>
  <si>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</si>
  <si>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</si>
  <si>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</si>
  <si>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 xml:space="preserve"> Aumentar la utilización de escnearios deportivos como coliseos y canchas de fútbol</t>
  </si>
  <si>
    <t>Apoyar la construcción, mejoramiento y/o  rehabilitación de la infraestructura de doce (12) escenarios deportivos y/o recreativos en el departamento del Quindío</t>
  </si>
  <si>
    <t xml:space="preserve">15. Equipamiento </t>
  </si>
  <si>
    <t>Disminuir incidencia de violencia intrafamiliar</t>
  </si>
  <si>
    <t>Apoyar la construcción, el mantenimiento, el mejoramiento y/o la rehabilitación de dos (2) obras físicas de infraestructura  Institucional o de edificios públicos del Departamento del Quindío.</t>
  </si>
  <si>
    <t>Reducir las proporcion de jóvenes en el sistema de responsabilidad penal con riesgo alto de reincidencia en las conductas delictivas</t>
  </si>
  <si>
    <t>Apoyar la construcción y  el mejoramiento de mil (1000) viviendas urbana y rural priorizada en el departamento del Quindío.</t>
  </si>
  <si>
    <t>7. Vivienda</t>
  </si>
  <si>
    <t>DESARROLLO SOSTENIBLE</t>
  </si>
  <si>
    <t>Quindío territorio vital</t>
  </si>
  <si>
    <t>Manejo integral del agua y saneamiento básico</t>
  </si>
  <si>
    <t xml:space="preserve">Dsiminuir la presión por cargas contaminantes medida por el indice de alteración potencial de la calidad del agua (IACAL), a categoria moderada </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</si>
  <si>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</si>
  <si>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</si>
  <si>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</si>
  <si>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</si>
  <si>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</si>
  <si>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</si>
  <si>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</si>
  <si>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</si>
  <si>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</si>
  <si>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</si>
  <si>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</si>
  <si>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</si>
  <si>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</si>
  <si>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</si>
  <si>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</si>
  <si>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</si>
  <si>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</si>
  <si>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</si>
  <si>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309 Secretaría del Interior</t>
  </si>
  <si>
    <t xml:space="preserve"> </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</si>
  <si>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</si>
  <si>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</si>
  <si>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</si>
  <si>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</si>
  <si>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</si>
  <si>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</si>
  <si>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</si>
  <si>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</si>
  <si>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Reducir la proporción de jóvenes en el sistema de responsabilidad penal con riesgo alto de reincidencia en las conductas delictivas</t>
  </si>
  <si>
    <t>Fortalecer 10 programas de prevención y superación del Sistema de responsabilidad penal para adolescentes</t>
  </si>
  <si>
    <t xml:space="preserve">Reducir los casos  de  hurto a residencias, comercio y personas </t>
  </si>
  <si>
    <t>Dotar cinco (5) organismos de seguridad del departamento con elementos tecnológicos y logísticos que faciliten su operatividad y capacidad de respuesta</t>
  </si>
  <si>
    <t>Convivencia, Justicia  y Cultura de Paz</t>
  </si>
  <si>
    <t>Atencion integral de Barrios con situacion critica de convivencia en los 12 Municipios  del Departamento</t>
  </si>
  <si>
    <t xml:space="preserve">18. Justicia y Seguridad </t>
  </si>
  <si>
    <t>201663000-0029</t>
  </si>
  <si>
    <t>Apoyo a la convivencia, justicia y cultura de paz en el Departamento del  Quindio.</t>
  </si>
  <si>
    <t xml:space="preserve"> Mantener el porcentaje de cumplimiento de la Ley 1448 del 2011 de atención a víctimas</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</si>
  <si>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</si>
  <si>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</si>
  <si>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</si>
  <si>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</si>
  <si>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</si>
  <si>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</si>
  <si>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</si>
  <si>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</si>
  <si>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</si>
  <si>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</si>
  <si>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</si>
  <si>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</si>
  <si>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</si>
  <si>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</si>
  <si>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</si>
  <si>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</si>
  <si>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Actualizar e Implementar el plan lucha contra la trata de personas</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</si>
  <si>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</si>
  <si>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</si>
  <si>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</si>
  <si>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</si>
  <si>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</si>
  <si>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</si>
  <si>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PROYECTO AJUSTADO EL 31/03/2020 POR -$470.579.598 POR LA FUENTE 20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</si>
  <si>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</si>
  <si>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</si>
  <si>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</si>
  <si>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</si>
  <si>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Fortalecer  la dotación de la bodega estratégica de la Unidad Departamental de la Gestión del Riesgo de Desastres UDEGER</t>
  </si>
  <si>
    <t>12. Prevención y Atención de Desastres</t>
  </si>
  <si>
    <t>201663000-0038</t>
  </si>
  <si>
    <t>Apoyo institucional en la gestión del riesgo  en el Departamento del Quindio</t>
  </si>
  <si>
    <t>PROYECTO AJUSTADO EL 31/03/2020 POR -$80.000.000 POR LA FUENTE 20</t>
  </si>
  <si>
    <t xml:space="preserve">Elevar el promedio de participación ciudadana en los procesos de elección popular en el cuatrenio </t>
  </si>
  <si>
    <t>Implementar un (1) programa de fortalecimiento de las veedurías ciudadanas del departamento</t>
  </si>
  <si>
    <t>201663000-0042</t>
  </si>
  <si>
    <t xml:space="preserve">Fortalecimiento de las veedurias ciudadanas en el Departamento del Quindio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</si>
  <si>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</si>
  <si>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</si>
  <si>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</si>
  <si>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</si>
  <si>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t>
  </si>
  <si>
    <t>Diseñar e implementar la Escuela de Liderazgo democrático</t>
  </si>
  <si>
    <t>Formular e implementar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</si>
  <si>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</si>
  <si>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Elevar el promedio de participación ciudadana en los procesos de leccón popular en el cuatrenio </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</si>
  <si>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</si>
  <si>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</si>
  <si>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</si>
  <si>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</si>
  <si>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</si>
  <si>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</si>
  <si>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</si>
  <si>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</si>
  <si>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</si>
  <si>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</si>
  <si>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</si>
  <si>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201663000-0046</t>
  </si>
  <si>
    <t>Apoyo al arte y la cultura en todo el Departamento del Quindío</t>
  </si>
  <si>
    <t>Reducir casos de hurto a residencias, comercio y personas</t>
  </si>
  <si>
    <t>Apoyar  ciento veinte (120) proyectos del programa de concertación cultural del departamento</t>
  </si>
  <si>
    <t>Apoyar treinta y seis (36) proyectos mediante estímulos artísticos y culturales</t>
  </si>
  <si>
    <t xml:space="preserve">Emprendimiento Cultural </t>
  </si>
  <si>
    <t>Igualar la tasa de desempleo del departamento al promedio nacional para 2019</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</si>
  <si>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</si>
  <si>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</si>
  <si>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</si>
  <si>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</si>
  <si>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Declarar al departamento libre de analfabetismo</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</si>
  <si>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</si>
  <si>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</si>
  <si>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</si>
  <si>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</si>
  <si>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</si>
  <si>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Equiparar el crecimiento del PIB del departamento del Quindío al PIB nacional</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</si>
  <si>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</si>
  <si>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</si>
  <si>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</si>
  <si>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</si>
  <si>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</si>
  <si>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</si>
  <si>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</si>
  <si>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</si>
  <si>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</si>
  <si>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</si>
  <si>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</si>
  <si>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 xml:space="preserve">Crear (1) y fortalecer (3) rutas competitivas </t>
  </si>
  <si>
    <t xml:space="preserve">13. Promoción del Desarrollo </t>
  </si>
  <si>
    <t>201663000-0051</t>
  </si>
  <si>
    <t>Apoyo al mejoramiento de la competitividad a iniciativas  productivas en el  Departamento del Quindío</t>
  </si>
  <si>
    <t>Conformar e implementar (3) tres clúster priorizados en el Plan de Competitividad</t>
  </si>
  <si>
    <t>Hacia el Emprendimiento, Empresarismo, asociatividad y generación de empleo en el Departamento del Quindío</t>
  </si>
  <si>
    <t>Igualar la tasa de desempleo del departamento al promedio nacional para el 2019</t>
  </si>
  <si>
    <t>Apoyar a doce (12) unidades de emprendimiento para jóvenes emprendedores.</t>
  </si>
  <si>
    <t>201663000-0053</t>
  </si>
  <si>
    <t xml:space="preserve"> Apoyo al emprendimiento, empresarismo, asociatividad y generación de empleo en el departamento del Quindío.</t>
  </si>
  <si>
    <t xml:space="preserve">Disminuir el Procentajes de personas en situción de pobreza </t>
  </si>
  <si>
    <t>Apoyar   doce (12) Unidades de emprendimiento de grupos poblacionales con enfoque diferencial.</t>
  </si>
  <si>
    <t>Implementar un programa de gesiton financiera para el desarrollo de emprendimiento, empresarismo y asociatividad</t>
  </si>
  <si>
    <t>Quindío Sin Fronteras</t>
  </si>
  <si>
    <t xml:space="preserve">Equiarar el crecimiento del PIB del departamento  del Quindio al PIB Nacional </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</si>
  <si>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</si>
  <si>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</si>
  <si>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</si>
  <si>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</si>
  <si>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</si>
  <si>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</si>
  <si>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</si>
  <si>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 xml:space="preserve">Elaborar e implementar  un Plan de Calidad Turística del Destino </t>
  </si>
  <si>
    <t>201663000-0059</t>
  </si>
  <si>
    <t>Fortalecimiento de la oferta de prestadores de servicos, productos y atractivos turísticos en el Departamento del Quindío.</t>
  </si>
  <si>
    <t>Promoción nacional e internacional del departamento como destino turístico</t>
  </si>
  <si>
    <t xml:space="preserve">                                                                                                                                                                                                                                  Aumentar el 20%, en pesos constantes, el valor de “hoteles, restaurantes, bares y similares” en el PIB.  </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</si>
  <si>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</si>
  <si>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</si>
  <si>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</si>
  <si>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</si>
  <si>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</si>
  <si>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</si>
  <si>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</si>
  <si>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</si>
  <si>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</si>
  <si>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</si>
  <si>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Diseñay ejecutar una poliTica Departamental de uso racional de resiudos solidos y uso eficiente de energia</t>
  </si>
  <si>
    <t>Mantener la oferta hídrica promedio anual  de las Unidades de Manejo de Cuenca (UMC) del departamento del Quindío</t>
  </si>
  <si>
    <t xml:space="preserve">Apoyar a los doce (12) municipios en las acciones de control y vigilancia de la explotación minera en coordinación con la autoridad ambiental </t>
  </si>
  <si>
    <t xml:space="preserve">Crear e implementar el Fondo del Agua del departamento del Quindío  </t>
  </si>
  <si>
    <t xml:space="preserve">  10.  Ambiental </t>
  </si>
  <si>
    <t>201663000-0067</t>
  </si>
  <si>
    <t>Gestón integral de cuencas hirdográficas en el Departamento del Quindío</t>
  </si>
  <si>
    <t>Bienes y servicios ambientales para las nuevas generaciones</t>
  </si>
  <si>
    <t>Aumentar a 3000 hectareas el area recuperada  rehabilitada o restaurada  en el Departamento de acuerdo a las areas determinadas para tal efecto en el Plan Nacional de restauración.</t>
  </si>
  <si>
    <t xml:space="preserve">Conservar y restaurar seis (6) áreas de importancia estratégica para el recurso hídrico del departamento </t>
  </si>
  <si>
    <t>201663000-0068</t>
  </si>
  <si>
    <t>Aplicación de mecanismos de protección ambiental en el Departamento del Quindío.</t>
  </si>
  <si>
    <t xml:space="preserve">Adquirir doscientos setenta (270) Ha para áreas de conservación en predios de importancia estratégica para el recurso hídrico del departamento del Quindío </t>
  </si>
  <si>
    <t>Restaurar con obras de bioingeniería veinte (20) Ha en áreas o zonas críticas de riesgo.</t>
  </si>
  <si>
    <t>201663000-0069</t>
  </si>
  <si>
    <t>Fortalecimiento  y potencialización de los servicios ecosistemicos en el Departamento del Quindío</t>
  </si>
  <si>
    <t>Desarrollar treinta y un (31) estrategias de educación ambiental  en los espacios participativos, comunitarios y educativos del departamento</t>
  </si>
  <si>
    <t>Innovación para una caficultura sostenible en el departamento del Quindío</t>
  </si>
  <si>
    <t>Igualar la tasa de desempleo del departamento al promedio nacional</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</si>
  <si>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</si>
  <si>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</si>
  <si>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</si>
  <si>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 xml:space="preserve">  Disminuir el porcentaje de personas en situación de pobreza</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</si>
  <si>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</si>
  <si>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</si>
  <si>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</si>
  <si>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 xml:space="preserve">Igualar la tasa de desempleo del departamento al promedio nacional; </t>
  </si>
  <si>
    <t>Crear e implementar seis (6) núcleos de asistencia técnica y transferencia de tecnología en el sector agropecuario</t>
  </si>
  <si>
    <t>201663000-0176</t>
  </si>
  <si>
    <t>Creacion e implementacion de los centros agroindustriales para  la paz CAPAZ en el Deparamento del Quindio</t>
  </si>
  <si>
    <t xml:space="preserve"> Equiparar el crecimiento del PIB del departamento del Quindío al PIB nacional  </t>
  </si>
  <si>
    <t>Crear  seis (6) centros logísticos  para la transformación agroindustrial - CARPAZ</t>
  </si>
  <si>
    <t>Capacitar seis (6) unidades agro empresariales de jóvenes y mujeres rurales</t>
  </si>
  <si>
    <t>5                  6                   7</t>
  </si>
  <si>
    <t xml:space="preserve">Igualar la tasa de desempleo del departamento al promedio nacional para el 2019                                                                                                                                                                                                                                                                         Equiparar el crecimiento del PIB del departamento  del Quindio al PIB Nacional .                                                                                                                                                                                                                                                                                            Disminuir el Procentajes de personas en situción de pobreza                                                                                                                                                       </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</si>
  <si>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</si>
  <si>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</si>
  <si>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</si>
  <si>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</si>
  <si>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</si>
  <si>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</si>
  <si>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</si>
  <si>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</si>
  <si>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</si>
  <si>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</si>
  <si>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</si>
  <si>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</si>
  <si>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 xml:space="preserve">Disminuir el Procentajes de personas en situción de pobreza                                                                                                                                                       </t>
  </si>
  <si>
    <t>Diseñar e implementar (1) un instrumento de planificación e información rural para la comercialización de productos transables</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</si>
  <si>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</si>
  <si>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</si>
  <si>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</si>
  <si>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</si>
  <si>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Apoyar la conformación de cuatro (4) alianzas para contratos de compra anticipada de productos de la agricultura familiar en el departamento del Quindío</t>
  </si>
  <si>
    <t xml:space="preserve">8. Agropecuario </t>
  </si>
  <si>
    <t>201663000-0079</t>
  </si>
  <si>
    <t>Fomento a la agricultura familiar , urbana y  mercados campesinos para la soberanía y  Seguridad alimentaria en el Departamento del Quindio.</t>
  </si>
  <si>
    <t>Sembrar quinientas (500) Ha de productos de la canasta básica familiar para aumentar la disponibilidad de alimentos</t>
  </si>
  <si>
    <t>313 Oficina Privada</t>
  </si>
  <si>
    <t xml:space="preserve">Elevar el promedio de participación de la ciudadania en los procesos de elección  popular en el cuatrenio </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</si>
  <si>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</si>
  <si>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</si>
  <si>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</si>
  <si>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</si>
  <si>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</si>
  <si>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</si>
  <si>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</si>
  <si>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 xml:space="preserve">314 Secretaría de Educación </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</si>
  <si>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</si>
  <si>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</si>
  <si>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</si>
  <si>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</si>
  <si>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</si>
  <si>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</si>
  <si>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</si>
  <si>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Implementar el Programa de Alimentación Escolar (PAE) en el departamento del Quindío</t>
  </si>
  <si>
    <t>Implementar el programa de transporte escolar en el departamento del Quindío</t>
  </si>
  <si>
    <t>Educación inclusiva con acceso y permanencia para poblaciones vulnerables - diferenciales</t>
  </si>
  <si>
    <t>Atender  cuatrocientos cincuenta y cinco (455)  menores y/o adultos  que se encuentran en riesgo social    en conflicto con la ley penal,  iletrados, habitantes de frontera y/o menores  trabajadores.</t>
  </si>
  <si>
    <t>201663000-0086</t>
  </si>
  <si>
    <t>Implementación de estrategias de inclusión para garantizar la atención educativa a población vulnerable en el  Departamento del  Quindío.</t>
  </si>
  <si>
    <t>Diseñar e implementar un plan para la caracterización y atención de la población en condiciones especiales y excepcionales del departamento</t>
  </si>
  <si>
    <t xml:space="preserve">Funcionamiento y prestación del servicio educativo de las instituciones educativas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</si>
  <si>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</si>
  <si>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</si>
  <si>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</si>
  <si>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</si>
  <si>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Educación, Ambientes Escolares y Cultura para la Paz</t>
  </si>
  <si>
    <t>Disminuir la proporción de niños que desertan en educación básica secundaria</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</si>
  <si>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</si>
  <si>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</si>
  <si>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</si>
  <si>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Conformar y dotar   grupos culturales y artísticos en treinta (30)  instituciones educativas con  protagonismo en cada uno de los municipios</t>
  </si>
  <si>
    <t>Disminuir las instituciones de educación que fueron clasificadas en nivel C por resultados obtenidos en pruebas saber 11;</t>
  </si>
  <si>
    <t>Implementar el proyecto PRAE en treinta y seis (36)  instituciones educativas del departamento</t>
  </si>
  <si>
    <t>Duplicar los programas en la educación superior acreditados con alta calidad;</t>
  </si>
  <si>
    <t>Realizar ocho (8) eventos académicos, investigativos y culturales</t>
  </si>
  <si>
    <t xml:space="preserve">Disminuir la proporción de niños que desertan en educación básica secundaria y media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</si>
  <si>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</si>
  <si>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</si>
  <si>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Funcionamiento de las Instituciones Educativas</t>
  </si>
  <si>
    <t xml:space="preserve">16
</t>
  </si>
  <si>
    <t xml:space="preserve">Duplicar el número de instituciones educativas oficiales del departamento con el  índice sintético de calidad educativa (ISCE) en el nivel de básica primaria,  secundaria y media por encima del promedio nacional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</si>
  <si>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</si>
  <si>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</si>
  <si>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</si>
  <si>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</si>
  <si>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</si>
  <si>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Realizar siete (7)  concursos  para evaluar las competencias comunicativas en ingles de los estudiantes</t>
  </si>
  <si>
    <t>201663000-0094</t>
  </si>
  <si>
    <t>Implementación de estrategias para el mejoramiento de las competencias en lengua extranjera en estudiantes y docentes de las instituciones educativas del Departamento del Quindío</t>
  </si>
  <si>
    <t>Fortalecimiento de la Media Técnica</t>
  </si>
  <si>
    <t>Fortalecer cincuenta (50)   instituciones educativas en competencias básicas</t>
  </si>
  <si>
    <t>201663000-0095</t>
  </si>
  <si>
    <t xml:space="preserve">Fortalecimiento de los niveles de educación  básica y media para la articulación con la educación terciaria en el Departamento del Quindio </t>
  </si>
  <si>
    <t xml:space="preserve"> Duplicar los programas en la educación superior acreditados en alta calidad.   </t>
  </si>
  <si>
    <t>Fortalecer cuarenta y siete (47) instituciones educativas con el programa de articulación con la educación superior y ETDH</t>
  </si>
  <si>
    <t xml:space="preserve">Implementar un Programa de Alimentación Escolar Universitario PAEU para estudiantes universitarios </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</si>
  <si>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</si>
  <si>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</si>
  <si>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</si>
  <si>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</si>
  <si>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</si>
  <si>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</si>
  <si>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</si>
  <si>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</si>
  <si>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</si>
  <si>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</si>
  <si>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</si>
  <si>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</si>
  <si>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</si>
  <si>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</si>
  <si>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 xml:space="preserve">Funcionamiento y prestación de servicios del sector educativo del nivel central </t>
  </si>
  <si>
    <t xml:space="preserve">Declarar al Departamento  libre de analfabetismo                                                                                                                                                                     </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</si>
  <si>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</si>
  <si>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</si>
  <si>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</si>
  <si>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</si>
  <si>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</si>
  <si>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</si>
  <si>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</si>
  <si>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</si>
  <si>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</si>
  <si>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</si>
  <si>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</si>
  <si>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</si>
  <si>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</si>
  <si>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</si>
  <si>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</si>
  <si>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Disminuir o mantener mortalidad en menores de 1 año</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</si>
  <si>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</si>
  <si>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</si>
  <si>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</si>
  <si>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</si>
  <si>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Disminuir o mantener la mortalidad en menores de 5 años</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</si>
  <si>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</si>
  <si>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</si>
  <si>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</si>
  <si>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</si>
  <si>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</si>
  <si>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</si>
  <si>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</si>
  <si>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</si>
  <si>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Disminuir la incidencia de embarazo en adolescentes;</t>
  </si>
  <si>
    <t>Implementar la política pública de primera infancia, infancia y adolescencia</t>
  </si>
  <si>
    <t>201663000-0109</t>
  </si>
  <si>
    <t>Implementación de la  política de primera infancia, infancia y adolescencia en el Departamento del Quindio</t>
  </si>
  <si>
    <t xml:space="preserve"> "Sí para ti" atención integral a adolescentes y jóvenes </t>
  </si>
  <si>
    <t>Reducir la proporcion de jovenes en el sistema de responsabilidad penal con riesgo alto de reincidencia en las conductas delictivas</t>
  </si>
  <si>
    <t>Revisar, ajustar e implementar la política pública de juventud del departamento</t>
  </si>
  <si>
    <t>201663000-0110</t>
  </si>
  <si>
    <t>Desarrollo de acciones encaminadas a la atención integral  de los adolescentes y jóvenes del Departamento del Quindio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</si>
  <si>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</si>
  <si>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</si>
  <si>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</si>
  <si>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</si>
  <si>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</si>
  <si>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</si>
  <si>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</si>
  <si>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</si>
  <si>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</si>
  <si>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</si>
  <si>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 xml:space="preserve"> Incrementar cobertura de afiliación al sistema general de seguridad social en salud</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</si>
  <si>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</si>
  <si>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</si>
  <si>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</si>
  <si>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</si>
  <si>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</si>
  <si>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</si>
  <si>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</si>
  <si>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Aumentar el porcentaje de cumplimiento de la Ley 1448 del 2011 de atención a víctimas</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</si>
  <si>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</si>
  <si>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</si>
  <si>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</si>
  <si>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</si>
  <si>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</si>
  <si>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</si>
  <si>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</si>
  <si>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</si>
  <si>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</si>
  <si>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r>
      <t xml:space="preserve"> </t>
    </r>
    <r>
      <rPr>
        <sz val="7"/>
        <color theme="1"/>
        <rFont val="Times New Roman"/>
        <family val="1"/>
      </rPr>
      <t xml:space="preserve"> </t>
    </r>
    <r>
      <rPr>
        <sz val="11"/>
        <color theme="1"/>
        <rFont val="Calibri"/>
        <family val="2"/>
        <scheme val="minor"/>
      </rPr>
      <t xml:space="preserve">Disminuir el porcentaje de mujeres amenazadas por sus compañeros sentimentales                                                                                             </t>
    </r>
  </si>
  <si>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</si>
  <si>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</si>
  <si>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</si>
  <si>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</si>
  <si>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</si>
  <si>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</si>
  <si>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</si>
  <si>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</si>
  <si>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</si>
  <si>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</si>
  <si>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</si>
  <si>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</si>
  <si>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</si>
  <si>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</si>
  <si>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</si>
  <si>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</si>
  <si>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 xml:space="preserve">318 Secretaría de Salud </t>
  </si>
  <si>
    <t xml:space="preserve">Fortalecimiento a la vigilancia en  la seguridad alimentaria y nutricional del Quindío. </t>
  </si>
  <si>
    <t xml:space="preserve"> Disminuir o mantener la proporción de niños menores de 5 años en riesgo de desnutrición moderada o severa aguda</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</si>
  <si>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</si>
  <si>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</si>
  <si>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</si>
  <si>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</si>
  <si>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</si>
  <si>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</si>
  <si>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</si>
  <si>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</si>
  <si>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Disminuir la presión por cargas contaminantes, medida por el Índice de Alteración Potencial de la Calidad del Agua (IACAL), a categoría “moderada”</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</si>
  <si>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</si>
  <si>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</si>
  <si>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</si>
  <si>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</si>
  <si>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</si>
  <si>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</si>
  <si>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</si>
  <si>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</si>
  <si>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 xml:space="preserve">Sostener la tasa de mortalidad maternidad por causas directas </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</si>
  <si>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</si>
  <si>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</si>
  <si>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</si>
  <si>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 xml:space="preserve"> Disminuir la incidencia de embarazo en adolescentes</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</si>
  <si>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</si>
  <si>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</si>
  <si>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</si>
  <si>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</si>
  <si>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</si>
  <si>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Reducir la tasa de homicidios en el Quindío</t>
  </si>
  <si>
    <t>Adoptar e implementar el modelo de Atención primaria en Salud Mental (APS) en todos los municipios Quindiano</t>
  </si>
  <si>
    <t>Reducir lesiones fatales en accidentes de transito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</si>
  <si>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</si>
  <si>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</si>
  <si>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Disminuir o mantener la proporción de niños menores de 5 años en riesgo de desnutrición moderada o severa aguda</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</si>
  <si>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</si>
  <si>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</si>
  <si>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</si>
  <si>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</si>
  <si>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</si>
  <si>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</si>
  <si>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</si>
  <si>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</si>
  <si>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Reducir la mortalidad menores de 5 años por ERA</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</si>
  <si>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</si>
  <si>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</si>
  <si>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</si>
  <si>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por debajo del 10% la Letalidad por dengue.</t>
  </si>
  <si>
    <t>Implementar una estrategia que permita garantizar el adecuado funcionamiento de la red de frío para el almacenamiento  de los biológicos del Programa ampliado de inmunización (PAI).</t>
  </si>
  <si>
    <t>ajuste pendiente en el proyecto</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</si>
  <si>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</si>
  <si>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</si>
  <si>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</si>
  <si>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</si>
  <si>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</si>
  <si>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</si>
  <si>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</si>
  <si>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</si>
  <si>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</si>
  <si>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Consolidación y desarrollo del sistema de vigilancia en salud públicaintegrado al sistema de vigilancia de control sanitario e inspección vigilancia y control de S.G.S.S.S.</t>
  </si>
  <si>
    <t>Implementar  una estrategia oportuna de atención a sujetos de atención,  objetos de procesos de  inspección, vigilancia y control sanitario</t>
  </si>
  <si>
    <t>202000363-0001</t>
  </si>
  <si>
    <t>Tu y Yo Contra  - COVID</t>
  </si>
  <si>
    <t>Salud publica en emergencias y desastres</t>
  </si>
  <si>
    <r>
      <rPr>
        <sz val="7"/>
        <color theme="1"/>
        <rFont val="Times New Roman"/>
        <family val="1"/>
      </rPr>
      <t xml:space="preserve"> </t>
    </r>
    <r>
      <rPr>
        <sz val="11"/>
        <color theme="1"/>
        <rFont val="Calibri"/>
        <family val="2"/>
        <scheme val="minor"/>
      </rPr>
      <t>Incrementar el % IPS con seguimiento por parte del departamento</t>
    </r>
  </si>
  <si>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</si>
  <si>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</si>
  <si>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</si>
  <si>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</si>
  <si>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</si>
  <si>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</si>
  <si>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</si>
  <si>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</si>
  <si>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</si>
  <si>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</si>
  <si>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</si>
  <si>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</si>
  <si>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</si>
  <si>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</si>
  <si>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</si>
  <si>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</si>
  <si>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</si>
  <si>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</si>
  <si>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 Elevar el promedio de la participación de la ciudadanía en los procesos de elección popular en el cuatrienio </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</si>
  <si>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</si>
  <si>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</si>
  <si>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</si>
  <si>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r>
      <rPr>
        <sz val="7"/>
        <color theme="1"/>
        <rFont val="Times New Roman"/>
        <family val="1"/>
      </rPr>
      <t xml:space="preserve"> </t>
    </r>
    <r>
      <rPr>
        <sz val="11"/>
        <color theme="1"/>
        <rFont val="Calibri"/>
        <family val="2"/>
        <scheme val="minor"/>
      </rPr>
      <t>Aumentar el porcentaje de cumplimiento de la Ley 1448 del 2011 de atención a víctimas</t>
    </r>
  </si>
  <si>
    <t>Implementar el  Programa de atención psicosocial y salud integral a víctimas del conflicto armado.</t>
  </si>
  <si>
    <t xml:space="preserve">
30</t>
  </si>
  <si>
    <t xml:space="preserve">                                                                                                                                                                                                                                                                                          Disminuir o mantener la mortalidad en menores de 5 años</t>
  </si>
  <si>
    <t>Fortalecimiento de  la estrategia AIEPI en los 12 municipios del Departamento</t>
  </si>
  <si>
    <r>
      <rPr>
        <sz val="7"/>
        <color theme="1"/>
        <rFont val="Times New Roman"/>
        <family val="1"/>
      </rPr>
      <t xml:space="preserve">  </t>
    </r>
    <r>
      <rPr>
        <sz val="11"/>
        <color theme="1"/>
        <rFont val="Calibri"/>
        <family val="2"/>
        <scheme val="minor"/>
      </rPr>
      <t>Aumentar el % de personas discapacitadas atendidas</t>
    </r>
  </si>
  <si>
    <t>Fortalecer en los doce (12) municipios del departamento los  comités municipales de discapacidad</t>
  </si>
  <si>
    <t>Plan de intervenciones colectivas en el modelo de APS</t>
  </si>
  <si>
    <t xml:space="preserve">Disminuir o mantener la proporción de niños menores de 5 años en riesgo de desnutrición moderada o severa aguda                                                                                                                                                                                                          </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</si>
  <si>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</si>
  <si>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</si>
  <si>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</si>
  <si>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Vigilancia en salud publica y del laboratorio departamental.</t>
  </si>
  <si>
    <t xml:space="preserve">Incidencia de  afectados  por Enfermedad Diarreica Aguda –EDA-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</si>
  <si>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</si>
  <si>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</si>
  <si>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</si>
  <si>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 xml:space="preserve">
Mantener el número de UPGD que integra el sistema de vigilancia en salud pública                                                                                                                                                                          </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</si>
  <si>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</si>
  <si>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</si>
  <si>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</si>
  <si>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</si>
  <si>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</si>
  <si>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</si>
  <si>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</si>
  <si>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</si>
  <si>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</si>
  <si>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</si>
  <si>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</si>
  <si>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</si>
  <si>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</si>
  <si>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</si>
  <si>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</si>
  <si>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</si>
  <si>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Incrementar el % IPS con seguimiento por parte del departamento</t>
  </si>
  <si>
    <t>Mantener la contratación con la red pública y privada (15)  para la atención de la población no afiliada.</t>
  </si>
  <si>
    <t>201663000-0154</t>
  </si>
  <si>
    <t xml:space="preserve">Prestación de Servicios a la Población no Afiliada al Sistema General de Seguridad Social en Salud  y en los no POS  a la Población Afiliada al Régimen Subsidiado.
</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</si>
  <si>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</si>
  <si>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</si>
  <si>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</si>
  <si>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</si>
  <si>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</si>
  <si>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</si>
  <si>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</si>
  <si>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</si>
  <si>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</si>
  <si>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</si>
  <si>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</si>
  <si>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</si>
  <si>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</si>
  <si>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</si>
  <si>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</si>
  <si>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</si>
  <si>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</si>
  <si>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</si>
  <si>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</si>
  <si>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</si>
  <si>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</si>
  <si>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</si>
  <si>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</si>
  <si>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201663000-0160</t>
  </si>
  <si>
    <t>Apoyo Operativo a la inversión social en salud en el Departamento del Quindio</t>
  </si>
  <si>
    <t xml:space="preserve">324 Secretaría de Tecnologías de la Información y las Comunicaciones </t>
  </si>
  <si>
    <t xml:space="preserve">
38</t>
  </si>
  <si>
    <t xml:space="preserve">Consolidar mecanismos de integración regional y municipal                                   </t>
  </si>
  <si>
    <t>Virtualizar ocho (8) trámites de la administración departamental a través de Gobierno en Línea</t>
  </si>
  <si>
    <t>201663000-0001</t>
  </si>
  <si>
    <t>Apoyo a la estrategia de Gobierno en linea en el Departamento del Quindio</t>
  </si>
  <si>
    <t>Fortalecer el programa de  infraestructura tecnológica de la  Administración Departamental (hadware, aplicativos, redes, y capacitación)</t>
  </si>
  <si>
    <t>201663000-0003</t>
  </si>
  <si>
    <t>Actualización de la infraestructura tecnológica de la Gobernación del Quindío.</t>
  </si>
  <si>
    <t>PROYECTO AJUSTADO EL 24/02/2020
-170.000.000 POR LA FUENTE 20</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</si>
  <si>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</si>
  <si>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</si>
  <si>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</si>
  <si>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PROYECTO AJUSTADO EL 24/02/2020 
+170.000.000 POR LA FUENTE 20</t>
  </si>
  <si>
    <t>TOTAL SECTOR ADMINISTRACIÓN CENTRAL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</si>
  <si>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</si>
  <si>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</si>
  <si>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</si>
  <si>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</si>
  <si>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</si>
  <si>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</si>
  <si>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</si>
  <si>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</si>
  <si>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</si>
  <si>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</si>
  <si>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</si>
  <si>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</si>
  <si>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</si>
  <si>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</si>
  <si>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</si>
  <si>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</si>
  <si>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</si>
  <si>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</si>
  <si>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</si>
  <si>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</si>
  <si>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</si>
  <si>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</si>
  <si>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</si>
  <si>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</si>
  <si>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</si>
  <si>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</si>
  <si>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</si>
  <si>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</si>
  <si>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</si>
  <si>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</si>
  <si>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</si>
  <si>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</si>
  <si>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</si>
  <si>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</si>
  <si>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</si>
  <si>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</si>
  <si>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</si>
  <si>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</si>
  <si>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</si>
  <si>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Mantener en buen estado las vías del departamento</t>
  </si>
  <si>
    <t>9. Transporte</t>
  </si>
  <si>
    <t>201663000-0171</t>
  </si>
  <si>
    <t xml:space="preserve">Apoyo en la formulación y ejecucion de proyectos de vivienda, infraestructura y equipamientos colectivos y comunitarios en el Departamento del Quindio </t>
  </si>
  <si>
    <t>Aumentar la utilización de escenarios deportivos como coliseos y canchas de fútbol</t>
  </si>
  <si>
    <t>Apoyar la construcción, el mantenimiento, el mejoramiento y/o la rehabilitación de la infraestructura de dos (2) equipamientos públicos y colectivos del Departamento del Quindío.</t>
  </si>
  <si>
    <t xml:space="preserve">321 Instituto Departamental de Transito </t>
  </si>
  <si>
    <t xml:space="preserve"> SEGURIDAD HUMANA</t>
  </si>
  <si>
    <t>Fortalecimiento de la seguridad vial Departamental</t>
  </si>
  <si>
    <t xml:space="preserve"> Reducir lesiones fatales en accidente de tránsito</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</si>
  <si>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</si>
  <si>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</si>
  <si>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</si>
  <si>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</si>
  <si>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TOTAL ENTIDADES DESCENTRALIZADAS</t>
  </si>
  <si>
    <t>TOTAL POAI 2020</t>
  </si>
  <si>
    <t>Nov. 22 de 2017</t>
  </si>
  <si>
    <t xml:space="preserve">PLAN DE DESARROLLO DEPARTAMENTAL </t>
  </si>
  <si>
    <t>CODIGO</t>
  </si>
  <si>
    <t xml:space="preserve">ESTRATEGIA </t>
  </si>
  <si>
    <t xml:space="preserve">PROGRAMA </t>
  </si>
  <si>
    <t xml:space="preserve">SUBPROGRAMA </t>
  </si>
  <si>
    <t xml:space="preserve">META DE PRODUCTO PLAN DE DESARROLLO </t>
  </si>
  <si>
    <t xml:space="preserve">INDICADOR </t>
  </si>
  <si>
    <t>IMPUTACION PRESUPUESTAL</t>
  </si>
  <si>
    <t xml:space="preserve">PROYECTO </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</si>
  <si>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</si>
  <si>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</si>
  <si>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</si>
  <si>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</si>
  <si>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</si>
  <si>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</si>
  <si>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</si>
  <si>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</si>
  <si>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</si>
  <si>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</si>
  <si>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 xml:space="preserve">FECHA DE INICIO </t>
  </si>
  <si>
    <t xml:space="preserve">FECHA DE TERMINACIÓN </t>
  </si>
  <si>
    <t xml:space="preserve">RESPONSABLE </t>
  </si>
  <si>
    <t>MUJER</t>
  </si>
  <si>
    <t>HOMBRE</t>
  </si>
  <si>
    <t>Edad Escolar 
(0 - 14 años)</t>
  </si>
  <si>
    <t>Indígena</t>
  </si>
  <si>
    <t>Afrocolombiano</t>
  </si>
  <si>
    <t>Raizal</t>
  </si>
  <si>
    <t>Rom</t>
  </si>
  <si>
    <t xml:space="preserve">Mestiza </t>
  </si>
  <si>
    <t>palenqueras</t>
  </si>
  <si>
    <t xml:space="preserve">Desplazados </t>
  </si>
  <si>
    <t xml:space="preserve">Discapacitados </t>
  </si>
  <si>
    <t xml:space="preserve">Victimas </t>
  </si>
  <si>
    <t>META FISICA PROGRAMADA</t>
  </si>
  <si>
    <t xml:space="preserve">Sobresaliente  ( Entre 80%-100%) </t>
  </si>
  <si>
    <t>Adolescencia
 (15 - 19 años)</t>
  </si>
  <si>
    <t>Adultos Mayores (Mayores a 60 años)</t>
  </si>
  <si>
    <t xml:space="preserve"> Ligas deportivas del departamento del Quindío</t>
  </si>
  <si>
    <t>2234468202-3</t>
  </si>
  <si>
    <t xml:space="preserve">Incrementar los niveles de desarrollo en el deporte formativo y competitivo del departamento del quindio
</t>
  </si>
  <si>
    <t xml:space="preserve">Fortalecer los procesos con deportistas de altos logros 
</t>
  </si>
  <si>
    <t xml:space="preserve">Apoyo a las ligas en los eventos deportivos de carácter federal </t>
  </si>
  <si>
    <t>IPOCONSUMO</t>
  </si>
  <si>
    <t>GERENTE GENERAL INDEPORTES</t>
  </si>
  <si>
    <t>MONOPOLIO</t>
  </si>
  <si>
    <t>2234468202_4</t>
  </si>
  <si>
    <t xml:space="preserve">Realizar acompañamiento y asesorìa a las ligas y clubes del departamento </t>
  </si>
  <si>
    <t>ICLD</t>
  </si>
  <si>
    <t>Apoyar  a veinte  (20) deportistas en nivel de talento, de proyección y de altos logros con el programa de incentivos económicos a deportistas.</t>
  </si>
  <si>
    <t>2234468203_4</t>
  </si>
  <si>
    <t xml:space="preserve">Apoyo a deportistas de alto logros y reserva deportiva </t>
  </si>
  <si>
    <t xml:space="preserve"> Apoyo a eventos deportivos</t>
  </si>
  <si>
    <t/>
  </si>
  <si>
    <t>Apoyar 13 ligas de los eventos deportivos de carácter federado nacional y departamental</t>
  </si>
  <si>
    <t>2234469204-4</t>
  </si>
  <si>
    <t>2234469204_12</t>
  </si>
  <si>
    <t>Juegos intercolegiados</t>
  </si>
  <si>
    <t>Juegos intercolegiados desarrollados</t>
  </si>
  <si>
    <t>2234470205-12</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</si>
  <si>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</si>
  <si>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</si>
  <si>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t>
  </si>
  <si>
    <t>2234470205-4</t>
  </si>
  <si>
    <t>Municipios asesorados técnica, administrada y financieramente en los procesos de escuelas deportivas</t>
  </si>
  <si>
    <t>2234471206_12</t>
  </si>
  <si>
    <t xml:space="preserve">Generar espacios recreo-deportivos, aumentando el porcentaje de utilización de escenarios deportivos y
disminuyendo los índices de consumo de estupefacientes
</t>
  </si>
  <si>
    <t>Fortalecer los espacios recreodeportivos</t>
  </si>
  <si>
    <t>Brindad asesoria a los doce municipios del departamente</t>
  </si>
  <si>
    <t>2234471207_12</t>
  </si>
  <si>
    <t>Realizacion de eventos deportivos en el departamento</t>
  </si>
  <si>
    <t>Juegos comunales apoyados.</t>
  </si>
  <si>
    <t>2234471208_4</t>
  </si>
  <si>
    <t>Realizacion de los juegos comunales en el departamento</t>
  </si>
  <si>
    <t>2234471208_12</t>
  </si>
  <si>
    <t>Recreación,  para el Bien Común</t>
  </si>
  <si>
    <t>Programa de recreación para la juventud diseñado y desarrollado</t>
  </si>
  <si>
    <t>2234572209-3</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</si>
  <si>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</si>
  <si>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</si>
  <si>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t>
  </si>
  <si>
    <t>Programa nuevo comienzo "Otro Motivo para Vivir" articulado y desarrollado.</t>
  </si>
  <si>
    <t>2234572210_4</t>
  </si>
  <si>
    <t xml:space="preserve">Apoyo logistico y tecnico al adulto mayor </t>
  </si>
  <si>
    <t>2234572210_3</t>
  </si>
  <si>
    <t>Estrategia creada y desarrollada.</t>
  </si>
  <si>
    <t>2234572211_3</t>
  </si>
  <si>
    <t xml:space="preserve">Apoyo logistico tecnico </t>
  </si>
  <si>
    <t xml:space="preserve"> Actividad física, hábitos y estilos de vida saludables</t>
  </si>
  <si>
    <t xml:space="preserve">Programa implementado </t>
  </si>
  <si>
    <t>2234573212_3</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</si>
  <si>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</si>
  <si>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</si>
  <si>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</si>
  <si>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</si>
  <si>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Numero de municipios apoyados</t>
  </si>
  <si>
    <t>22346741_2</t>
  </si>
  <si>
    <t>Disminuir los índices del consumo de estupefacientes en los municipios del departamento</t>
  </si>
  <si>
    <t xml:space="preserve">Fortalecer la articulacion interinstitucional
</t>
  </si>
  <si>
    <t>INDEPORTES</t>
  </si>
  <si>
    <t xml:space="preserve">VALOR PROGRAMADO VIGENCIA </t>
  </si>
  <si>
    <t>VALOR EJECUTADO VIGENCIA</t>
  </si>
  <si>
    <t xml:space="preserve">COMPROMISOS </t>
  </si>
  <si>
    <t xml:space="preserve">OBLIGACIONES </t>
  </si>
  <si>
    <t>(Obligación/Ppto Definitivo</t>
  </si>
  <si>
    <t xml:space="preserve">Apoyar y fortalecer veintitrés (23) ligas deportivas </t>
  </si>
  <si>
    <t>Nº ligas fortalecidas</t>
  </si>
  <si>
    <t>2234468202-12</t>
  </si>
  <si>
    <t>ICLD - 4</t>
  </si>
  <si>
    <t>MONOPOLIO - 12</t>
  </si>
  <si>
    <t xml:space="preserve">Apoyar a veinte (20) deportistas en nivel de talento, de proyección y de altos logros con el programa de incentivos económicos a deportistas. </t>
  </si>
  <si>
    <t>Nº de deportistas apoyados</t>
  </si>
  <si>
    <t>IPOCONSUMO - 3</t>
  </si>
  <si>
    <t>Apoyar trece (13) ligas en los eventos deportivos de carácter federado, nacional y departamental.</t>
  </si>
  <si>
    <t>Nº ligas apoyadas</t>
  </si>
  <si>
    <t>Desarrollar cuatro (4) juegos intercolegiados en sus diferentes fases</t>
  </si>
  <si>
    <t>Nº programas ejecutados</t>
  </si>
  <si>
    <t>Asesorar los doce (12) municipios del departamento del Quindío asesorados mediante solicitudes de carácter técnico, administrativo y financiero para las escuelas deportivas, según los requerimientos.</t>
  </si>
  <si>
    <t>Nº Municipios asesorados</t>
  </si>
  <si>
    <t>ICLD -4</t>
  </si>
  <si>
    <t>Desarrollar 4 eventos de deporte social
y comunitario.</t>
  </si>
  <si>
    <t>Nº eventos desarrollados</t>
  </si>
  <si>
    <t>2234471207_3</t>
  </si>
  <si>
    <t>Apoyar técnicamente un 1 evento
de Juegos Comunales en la fase
Departamental</t>
  </si>
  <si>
    <t>Nº eventos apoyados</t>
  </si>
  <si>
    <t xml:space="preserve">Apoyar de forma articulada el desarrollo del programa (1) campamentos juveniles </t>
  </si>
  <si>
    <t>Nº programas apoyados</t>
  </si>
  <si>
    <t xml:space="preserve">Apoyar de forma articulada el programa nuevo comienzo otro motivo para vivir (1) </t>
  </si>
  <si>
    <t>CIGARRILLO 70% - 6</t>
  </si>
  <si>
    <t>Nº estrategias desarrolladas</t>
  </si>
  <si>
    <t>2234572211_12</t>
  </si>
  <si>
    <t>Implementar un (1) programa que permita ejecutar proyectos de actividad física para la promoción de hábitos y estilos de vida saludables</t>
  </si>
  <si>
    <t>Nº programas implementados</t>
  </si>
  <si>
    <t>Apoyar doce (12) municipios en proyectos deportivos, recreativos y de actividad física</t>
  </si>
  <si>
    <t>Nº Municipios apoyados</t>
  </si>
  <si>
    <t>2334573213-4</t>
  </si>
  <si>
    <t xml:space="preserve">TOTAL </t>
  </si>
  <si>
    <t>F-PLA-07</t>
  </si>
  <si>
    <t>01 de 1</t>
  </si>
  <si>
    <t>No.</t>
  </si>
  <si>
    <t>CONTRATOS</t>
  </si>
  <si>
    <t xml:space="preserve">No. DE 
CONTRATOS </t>
  </si>
  <si>
    <t>VALOR COMPROMISOS</t>
  </si>
  <si>
    <t>VALOR DE LAS OBLIGACIONES</t>
  </si>
  <si>
    <t>% DE EJECUCION</t>
  </si>
  <si>
    <t>FUENTE DE LOS RECURSOS</t>
  </si>
  <si>
    <t>SUPERVISOR RESPONSABLE</t>
  </si>
  <si>
    <t>P</t>
  </si>
  <si>
    <t>E</t>
  </si>
  <si>
    <t>PRESUPUESTADO</t>
  </si>
  <si>
    <t>E (COMPROMISOS)</t>
  </si>
  <si>
    <t>E (OBLIGACIONES)</t>
  </si>
  <si>
    <t xml:space="preserve">Se apoyó a la deportista Lina María Raga para una participación en un evento internacional en el mes de Febrero.
*Se realizó el análisis de cada uno de los deportistas postulados por la diferentes ligas del departamento para el programa deportista apoyado teniendo en cuenta la resolución 028 de 2017 donde se estable los lineamientos de programa de esta manera se realizó el pago del mes de marzo de los deportista medallistas individuales de los juegos nacionales y paracionales 2019
</t>
  </si>
  <si>
    <t xml:space="preserve">Por motivos de la pandemia covid 19 no se puede realizar eventos masivos por tal motivo no se ha ejecutado ningún evento federado para las diferentes ligas del departamento </t>
  </si>
  <si>
    <t>Se inicia tu y yo salvavidas con hábitos y estilos de vida saludable. Encaminado a la actividad física musicalizada participando de este programa cinco monitores y un gestor. Cobijando la población de 18 a 60 años, en los municipios de Calarcá, Montenegro, La Tebaida, Quimbaya y Circasia. reportando una cobertura de 994 beneficiarios. Hasta el día 16 de marzo. Para el tiempo de aislamiento se continua con actividades virtuales en  diferentes medios digitales priorizando la página de Facebook del instituto.</t>
  </si>
  <si>
    <t xml:space="preserve">GERENTE GENERAL INDEPORTES
</t>
  </si>
  <si>
    <t>COLDEPORTES</t>
  </si>
  <si>
    <t>MANUEL ANTONIO RODRIGUEZ QUINTERO</t>
  </si>
  <si>
    <t>Eventos deportivos social y comunitarios desarrollar.</t>
  </si>
  <si>
    <t>Desarrollar  1 eventos de deporte social y comunitario.</t>
  </si>
  <si>
    <t>GLORIA INES HERRERA FRANCO</t>
  </si>
  <si>
    <t>Apoyo  logistico a las 13 ligas estrategicas  (Adquisición de Bienes y Servicios)</t>
  </si>
  <si>
    <t>Ligas apoyadas en eventos departamental y nacionales.</t>
  </si>
  <si>
    <t>Número de deportistas incentivados.</t>
  </si>
  <si>
    <t>Ligas deportivas apoyadas y fortalecidas.</t>
  </si>
  <si>
    <t xml:space="preserve">Apoyar  y fortalecer veintitrés (23) ligas deportivas.   </t>
  </si>
  <si>
    <t>Edad Económicamente Activa
(20-59 años)</t>
  </si>
  <si>
    <t>SEGUIMIENTO PLAN DE ACCIÓN
INDEPORTES
NOVIEMBRE 30 DE 2019</t>
  </si>
  <si>
    <t>Se realizo la contratacion de cuatro (4) monintores de escuelas deportivas en los deportes Badminton, Futbol y Patinaje. se desarrollaron actividades en (8) escuelas deportivas con ciento veintisiete deportistas (127). Las escuelas se desarrollan en los municipios de Montenegro (1), Armenia (1), Quimbaya (1), Génova (1) , La Tebaida (2), Pijao (1) y Calarcá (Barcelona 1).
Se realizo la elaboracion del Proyecto de escuelas deportivas para la cofinanciacion con el Ministerio del Deporte</t>
  </si>
  <si>
    <t>Se realizó diagnostico correspondiente al Deporte social comunitario. 
Se realizó la elaboracion del proyecto deportes + A cofinanciar con el ministerio dle deporte. (Deportes +Deporte Social comunitario- Ministerio del Deporte)</t>
  </si>
  <si>
    <t>Se pone en desarrollo la realización de actividades en población de primera infancia, infancia, adolescencia, adulto mayor y discapacidad, con articulación de la secretaria familiar, gestionando por el momento visitas a los diferentes entes deportivos de los municipios de Montenegro y Quimbaya. Para luego empezar actividades. Cada grupo de primera infancia estará conformado por mínimo 15 niños reportando una cobertura de 90 niños, los de infancia 40 reportando una cobertura de 149 niños hasta el 16 de marzo. . Para el tiempo de aislamiento se continua con actividades virtuales en  diferentes medios digitales priorizando la página de Facebook del instituto.
Actualmente se  elaboro convenio de cofinanciacion de recreacion para ejecutar copn el ministerio del Deporte.</t>
  </si>
  <si>
    <t>Con la contratación de dos monitores para los municipios de Quimbaya y Montenegro se da inicio con este programa atendiendo tres grupos con un mínimo de cuarenta personas mayores de 60 años. Hasta el dia 16 se presenta una cobertura de 153 adultos mayores. Para el tiempo de aislamiento se continua con actividades virtuales en  diferentes medios digitales priorizando la página de Facebook del instituto.
Actualmente se  elaboro convenio de cofinanciacion de recreacion para ejecutar copn el ministerio del Deporte.</t>
  </si>
  <si>
    <t>Se inicia contratación de dos monitores con obligaciones en atender 2 grupos con un mínimo de 40 personas, Hasta el 16 de marzo se relaciona una cobertura de 170 beneficiarios en los municipios de Montenegro y Quimbaya, desde el 19 de marzo se inicia con propuesta virtual acogiendo el decreto presidencial de aislamiento preventivo programando semana a semana actividades dirigidas a esta población con videos que contengan actividades recreativas. Todo esto a través de diferentes medios digitales. En especial la pagina de Facebook del instituto.
Actualmente se  elaboro convenio de cofinanciacion de recreacion para ejecutar copn el ministerio del Deporte.</t>
  </si>
  <si>
    <t xml:space="preserve">Se desarrollaron actividades en escuelas deportivas en siete (7) municipios, asi mismo se contratyo una persona que apoya la revision de la informacion del 1289 de loa años2015 a 2019, se proyecto resolucion de transferencia de recuros salos municipios </t>
  </si>
  <si>
    <t xml:space="preserve">FERNADO AUGUSTO PANESO ZULUAGA
GERENTE GENERAL INDEPORTES
</t>
  </si>
  <si>
    <t xml:space="preserve">Reviso: Mauricio Rayo Ocampo
</t>
  </si>
  <si>
    <t xml:space="preserve">FERNANDO AUGUSTO PANESO ZULUAGA
GERENTE GENERAL INDEPORTES
</t>
  </si>
  <si>
    <t xml:space="preserve">Proyecto: Carlos E. Tufino </t>
  </si>
  <si>
    <t>Proyecto: Carlos  Ediver Tufino</t>
  </si>
  <si>
    <t xml:space="preserve">Al inicio del año se solicitó a las respectivas ligas el plan de acción para determinar los diferentes apoyo para la vigencia 2020 teniendo en cuenta la estructura y los resultados obtenidos de cada una en los eventos federados y Juegos Nacionales y Para Nacionales 2019.
Antes de inicio el aislamiento covid 19 se pudo contratar el entrenador de rendimiento para el deporte de atletismo y 2 metodologos  para convencional y 1 no convencional de esta manera se analizara los planes de acción de cada liga para determinar los apoyos 2020.  
</t>
  </si>
  <si>
    <t>RUBENDARIO BELTRAN</t>
  </si>
  <si>
    <t>se realizo la contratacion de un promotor, donde ha realizado la socializacion del programa superate Intercolegiados a los docentes de educacion fisica, de las Instituciones educativas de  11 Municipios del Departamento, esto se ha hecho telefonicamente debido a la pandemia que enfrentamos a Nivel mundial.</t>
  </si>
  <si>
    <t xml:space="preserve">•Se recibió comunicado y resolución del proyecto juegos comunales 2020 por parte del Ministerio del Deporte.
Para la fase departamental se proyecto el cronograma pra la realizacion de los juegos comunales 2020.
</t>
  </si>
  <si>
    <t>}</t>
  </si>
</sst>
</file>

<file path=xl/styles.xml><?xml version="1.0" encoding="utf-8"?>
<styleSheet xmlns="http://schemas.openxmlformats.org/spreadsheetml/2006/main">
  <numFmts count="23">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6" formatCode="_-* #,##0.00_-;\-* #,##0.00_-;_-* &quot;-&quot;??_-;_-@_-"/>
    <numFmt numFmtId="167" formatCode="_-&quot;$&quot;* #,##0_-;\-&quot;$&quot;* #,##0_-;_-&quot;$&quot;* &quot;-&quot;_-;_-@_-"/>
    <numFmt numFmtId="168" formatCode="_-&quot;$&quot;* #,##0.00_-;\-&quot;$&quot;* #,##0.00_-;_-&quot;$&quot;* &quot;-&quot;??_-;_-@_-"/>
    <numFmt numFmtId="169" formatCode="_(* #,##0_);_(* \(#,##0\);_(* &quot;-&quot;??_);_(@_)"/>
    <numFmt numFmtId="170" formatCode="00"/>
    <numFmt numFmtId="171" formatCode="_-* #,##0_-;\-* #,##0_-;_-* &quot;-&quot;??_-;_-@_-"/>
    <numFmt numFmtId="172" formatCode="&quot;$&quot;\ #,##0.00"/>
    <numFmt numFmtId="173" formatCode="&quot;$&quot;\ #,##0"/>
    <numFmt numFmtId="174" formatCode="dd/mm/yyyy;@"/>
    <numFmt numFmtId="175" formatCode="_ [$€-2]\ * #,##0.00_ ;_ [$€-2]\ * \-#,##0.00_ ;_ [$€-2]\ * &quot;-&quot;??_ "/>
    <numFmt numFmtId="176" formatCode="_-* #,##0.00\ &quot;€&quot;_-;\-* #,##0.00\ &quot;€&quot;_-;_-* &quot;-&quot;??\ &quot;€&quot;_-;_-@_-"/>
    <numFmt numFmtId="177" formatCode="_-* #,##0.00\ _€_-;\-* #,##0.00\ _€_-;_-* &quot;-&quot;??\ _€_-;_-@_-"/>
    <numFmt numFmtId="178" formatCode="0.0"/>
    <numFmt numFmtId="179" formatCode="_(&quot;$&quot;\ * #,##0_);_(&quot;$&quot;\ * \(#,##0\);_(&quot;$&quot;\ * &quot;-&quot;??_);_(@_)"/>
    <numFmt numFmtId="180" formatCode="_-* #,##0.00_-;\-* #,##0.00_-;_-* &quot;-&quot;_-;_-@_-"/>
    <numFmt numFmtId="181" formatCode="dd/mm/yy;@"/>
    <numFmt numFmtId="184" formatCode="#,##0.00_);\-#,##0.00"/>
  </numFmts>
  <fonts count="40">
    <font>
      <sz val="11"/>
      <color theme="1"/>
      <name val="Calibri"/>
      <family val="2"/>
      <scheme val="minor"/>
    </font>
    <font>
      <sz val="11"/>
      <color theme="1"/>
      <name val="Calibri"/>
      <family val="2"/>
      <scheme val="minor"/>
    </font>
    <font>
      <sz val="11"/>
      <color rgb="FFFF0000"/>
      <name val="Calibri"/>
      <family val="2"/>
      <scheme val="minor"/>
    </font>
    <font>
      <sz val="10"/>
      <color theme="1"/>
      <name val="Arial"/>
      <family val="2"/>
    </font>
    <font>
      <b/>
      <sz val="10"/>
      <name val="Arial"/>
      <family val="2"/>
    </font>
    <font>
      <sz val="10"/>
      <name val="Arial"/>
      <family val="2"/>
    </font>
    <font>
      <b/>
      <sz val="14"/>
      <name val="Arial"/>
      <family val="2"/>
    </font>
    <font>
      <b/>
      <sz val="12"/>
      <name val="Arial"/>
      <family val="2"/>
    </font>
    <font>
      <sz val="12"/>
      <color theme="1"/>
      <name val="Arial"/>
      <family val="2"/>
    </font>
    <font>
      <sz val="12"/>
      <name val="Arial"/>
      <family val="2"/>
    </font>
    <font>
      <sz val="12"/>
      <color rgb="FFFF0000"/>
      <name val="Arial"/>
      <family val="2"/>
    </font>
    <font>
      <sz val="11"/>
      <name val="Arial"/>
      <family val="2"/>
    </font>
    <font>
      <sz val="11"/>
      <name val="Calibri"/>
      <family val="2"/>
      <scheme val="minor"/>
    </font>
    <font>
      <b/>
      <sz val="11"/>
      <name val="Arial"/>
      <family val="2"/>
    </font>
    <font>
      <sz val="11"/>
      <color indexed="8"/>
      <name val="Calibri"/>
      <family val="2"/>
    </font>
    <font>
      <b/>
      <sz val="11"/>
      <color theme="1"/>
      <name val="Arial"/>
      <family val="2"/>
    </font>
    <font>
      <b/>
      <sz val="16"/>
      <name val="Arial"/>
      <family val="2"/>
    </font>
    <font>
      <sz val="11"/>
      <color theme="1"/>
      <name val="Arial"/>
      <family val="2"/>
    </font>
    <font>
      <sz val="11"/>
      <color indexed="8"/>
      <name val="Arial"/>
      <family val="2"/>
    </font>
    <font>
      <sz val="11"/>
      <color rgb="FFFF0000"/>
      <name val="Arial"/>
      <family val="2"/>
    </font>
    <font>
      <sz val="7"/>
      <color theme="1"/>
      <name val="Times New Roman"/>
      <family val="1"/>
    </font>
    <font>
      <sz val="10"/>
      <name val="Arial"/>
      <family val="1"/>
    </font>
    <font>
      <b/>
      <sz val="18"/>
      <name val="Arial"/>
      <family val="2"/>
    </font>
    <font>
      <sz val="12"/>
      <name val="Calibri"/>
      <family val="2"/>
      <scheme val="minor"/>
    </font>
    <font>
      <b/>
      <sz val="11"/>
      <name val="Calibri"/>
      <family val="2"/>
      <scheme val="minor"/>
    </font>
    <font>
      <sz val="10"/>
      <color indexed="8"/>
      <name val="MS Sans Serif"/>
      <family val="2"/>
    </font>
    <font>
      <sz val="12"/>
      <color rgb="FF313131"/>
      <name val="Arial"/>
      <family val="2"/>
    </font>
    <font>
      <sz val="12"/>
      <color rgb="FF000000"/>
      <name val="Arial"/>
      <family val="2"/>
    </font>
    <font>
      <b/>
      <sz val="12"/>
      <color theme="1"/>
      <name val="Arial"/>
      <family val="2"/>
    </font>
    <font>
      <b/>
      <sz val="12"/>
      <color theme="1"/>
      <name val="Calibri"/>
      <family val="2"/>
      <scheme val="minor"/>
    </font>
    <font>
      <sz val="8"/>
      <name val="Arial"/>
      <family val="2"/>
    </font>
    <font>
      <b/>
      <sz val="11"/>
      <color indexed="8"/>
      <name val="Arial"/>
      <family val="2"/>
    </font>
    <font>
      <b/>
      <sz val="10"/>
      <color theme="1"/>
      <name val="Arial"/>
      <family val="2"/>
    </font>
    <font>
      <sz val="14"/>
      <color theme="1"/>
      <name val="Arial"/>
      <family val="2"/>
    </font>
    <font>
      <sz val="16"/>
      <color theme="1"/>
      <name val="Arial"/>
      <family val="2"/>
    </font>
    <font>
      <sz val="9"/>
      <name val="Arial"/>
      <family val="2"/>
    </font>
    <font>
      <sz val="9"/>
      <color theme="1"/>
      <name val="Arial"/>
      <family val="2"/>
    </font>
    <font>
      <b/>
      <sz val="12"/>
      <color rgb="FFFF0000"/>
      <name val="Arial"/>
      <family val="2"/>
    </font>
    <font>
      <b/>
      <sz val="12"/>
      <color indexed="8"/>
      <name val="Arial"/>
      <family val="2"/>
    </font>
    <font>
      <b/>
      <sz val="14"/>
      <color theme="1"/>
      <name val="Arial"/>
      <family val="2"/>
    </font>
  </fonts>
  <fills count="2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0000"/>
        <bgColor indexed="64"/>
      </patternFill>
    </fill>
    <fill>
      <patternFill patternType="solid">
        <fgColor indexed="9"/>
        <bgColor indexed="64"/>
      </patternFill>
    </fill>
    <fill>
      <patternFill patternType="solid">
        <fgColor indexed="46"/>
        <bgColor indexed="64"/>
      </patternFill>
    </fill>
    <fill>
      <patternFill patternType="solid">
        <fgColor rgb="FF00B0F0"/>
        <bgColor indexed="64"/>
      </patternFill>
    </fill>
    <fill>
      <patternFill patternType="solid">
        <fgColor theme="3" tint="0.79998168889431442"/>
        <bgColor indexed="64"/>
      </patternFill>
    </fill>
    <fill>
      <patternFill patternType="solid">
        <fgColor indexed="49"/>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rgb="FFA9D08E"/>
        <bgColor indexed="64"/>
      </patternFill>
    </fill>
    <fill>
      <patternFill patternType="solid">
        <fgColor theme="2" tint="-0.249977111117893"/>
        <bgColor indexed="64"/>
      </patternFill>
    </fill>
    <fill>
      <patternFill patternType="solid">
        <fgColor indexed="3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FF"/>
        <bgColor indexed="64"/>
      </patternFill>
    </fill>
    <fill>
      <patternFill patternType="solid">
        <fgColor rgb="FF00B050"/>
        <bgColor indexed="64"/>
      </patternFill>
    </fill>
    <fill>
      <patternFill patternType="solid">
        <fgColor theme="9" tint="0.39997558519241921"/>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style="thin">
        <color indexed="64"/>
      </top>
      <bottom style="thin">
        <color indexed="64"/>
      </bottom>
      <diagonal/>
    </border>
    <border>
      <left style="thin">
        <color auto="1"/>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37">
    <xf numFmtId="0" fontId="0" fillId="0" borderId="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1" fillId="0" borderId="0"/>
    <xf numFmtId="0" fontId="5" fillId="0" borderId="0"/>
    <xf numFmtId="0" fontId="5" fillId="0" borderId="0"/>
    <xf numFmtId="0" fontId="5" fillId="0" borderId="0"/>
    <xf numFmtId="168" fontId="1" fillId="0" borderId="0" applyFont="0" applyFill="0" applyBorder="0" applyAlignment="0" applyProtection="0"/>
    <xf numFmtId="9" fontId="14"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42" fontId="1" fillId="0" borderId="0" applyFont="0" applyFill="0" applyBorder="0" applyAlignment="0" applyProtection="0"/>
    <xf numFmtId="0" fontId="25" fillId="0" borderId="0"/>
    <xf numFmtId="176" fontId="14"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0" fontId="1" fillId="0" borderId="0"/>
    <xf numFmtId="0" fontId="5" fillId="0" borderId="0"/>
    <xf numFmtId="167" fontId="5" fillId="0" borderId="0" applyFont="0" applyFill="0" applyBorder="0" applyAlignment="0" applyProtection="0"/>
    <xf numFmtId="43" fontId="1" fillId="0" borderId="0" applyFont="0" applyFill="0" applyBorder="0" applyAlignment="0" applyProtection="0"/>
    <xf numFmtId="175" fontId="1" fillId="0" borderId="0"/>
    <xf numFmtId="0" fontId="3" fillId="0" borderId="0"/>
  </cellStyleXfs>
  <cellXfs count="1363">
    <xf numFmtId="0" fontId="0" fillId="0" borderId="0" xfId="0"/>
    <xf numFmtId="0" fontId="11" fillId="0" borderId="6" xfId="0" applyFont="1" applyBorder="1"/>
    <xf numFmtId="0" fontId="7" fillId="0" borderId="1" xfId="0" applyFont="1" applyBorder="1" applyAlignment="1">
      <alignment vertical="center"/>
    </xf>
    <xf numFmtId="0" fontId="7" fillId="0" borderId="1" xfId="0" applyFont="1" applyBorder="1" applyAlignment="1">
      <alignment horizontal="left"/>
    </xf>
    <xf numFmtId="0" fontId="12" fillId="0" borderId="0" xfId="0" applyFont="1" applyFill="1" applyBorder="1"/>
    <xf numFmtId="0" fontId="11" fillId="0" borderId="0" xfId="0" applyFont="1" applyBorder="1"/>
    <xf numFmtId="0" fontId="7" fillId="0" borderId="1" xfId="0" applyFont="1" applyBorder="1" applyAlignment="1">
      <alignment horizontal="left" vertical="center"/>
    </xf>
    <xf numFmtId="170" fontId="7" fillId="0" borderId="1" xfId="0" applyNumberFormat="1" applyFont="1" applyBorder="1" applyAlignment="1">
      <alignment horizontal="left"/>
    </xf>
    <xf numFmtId="0" fontId="12" fillId="0" borderId="0" xfId="0" applyFont="1" applyBorder="1"/>
    <xf numFmtId="17" fontId="7" fillId="0" borderId="1" xfId="0" applyNumberFormat="1" applyFont="1" applyBorder="1" applyAlignment="1">
      <alignment horizontal="left"/>
    </xf>
    <xf numFmtId="3" fontId="7" fillId="8" borderId="1" xfId="0" applyNumberFormat="1" applyFont="1" applyFill="1" applyBorder="1" applyAlignment="1">
      <alignment horizontal="left" wrapText="1"/>
    </xf>
    <xf numFmtId="0" fontId="13" fillId="9" borderId="13"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169" fontId="13" fillId="11" borderId="1" xfId="4" applyNumberFormat="1" applyFont="1" applyFill="1" applyBorder="1" applyAlignment="1">
      <alignment horizontal="center" vertical="center" wrapText="1"/>
    </xf>
    <xf numFmtId="171" fontId="13" fillId="11" borderId="1" xfId="2" applyNumberFormat="1" applyFont="1" applyFill="1" applyBorder="1" applyAlignment="1">
      <alignment horizontal="center" vertical="center" wrapText="1"/>
    </xf>
    <xf numFmtId="169" fontId="4" fillId="11" borderId="1" xfId="4" applyNumberFormat="1" applyFont="1" applyFill="1" applyBorder="1" applyAlignment="1">
      <alignment horizontal="center" vertical="center" wrapText="1"/>
    </xf>
    <xf numFmtId="169" fontId="15" fillId="11" borderId="1" xfId="4" applyNumberFormat="1" applyFont="1" applyFill="1" applyBorder="1" applyAlignment="1">
      <alignment horizontal="center" vertical="center" wrapText="1"/>
    </xf>
    <xf numFmtId="0" fontId="13" fillId="11"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xf>
    <xf numFmtId="0" fontId="16" fillId="12" borderId="13" xfId="0" applyFont="1" applyFill="1" applyBorder="1" applyAlignment="1">
      <alignment horizontal="left" vertical="center"/>
    </xf>
    <xf numFmtId="0" fontId="16" fillId="12" borderId="18" xfId="0" applyFont="1" applyFill="1" applyBorder="1" applyAlignment="1">
      <alignment horizontal="left" vertical="center"/>
    </xf>
    <xf numFmtId="0" fontId="16" fillId="12" borderId="18" xfId="0" applyFont="1" applyFill="1" applyBorder="1" applyAlignment="1">
      <alignment horizontal="center" vertical="center"/>
    </xf>
    <xf numFmtId="0" fontId="7" fillId="12" borderId="18" xfId="0" applyFont="1" applyFill="1" applyBorder="1" applyAlignment="1">
      <alignment horizontal="right" vertical="center"/>
    </xf>
    <xf numFmtId="0" fontId="13" fillId="12" borderId="18" xfId="0" applyFont="1" applyFill="1" applyBorder="1" applyAlignment="1">
      <alignment horizontal="center" vertical="center"/>
    </xf>
    <xf numFmtId="169" fontId="13" fillId="12" borderId="14" xfId="0" applyNumberFormat="1" applyFont="1" applyFill="1" applyBorder="1" applyAlignment="1">
      <alignment horizontal="left" vertical="center"/>
    </xf>
    <xf numFmtId="0" fontId="16" fillId="0" borderId="0" xfId="0" applyFont="1" applyFill="1" applyBorder="1" applyAlignment="1">
      <alignment vertical="center"/>
    </xf>
    <xf numFmtId="0" fontId="13" fillId="9" borderId="18" xfId="0" applyFont="1" applyFill="1" applyBorder="1" applyAlignment="1">
      <alignment vertical="center"/>
    </xf>
    <xf numFmtId="0" fontId="13" fillId="9" borderId="18" xfId="0" applyFont="1" applyFill="1" applyBorder="1" applyAlignment="1">
      <alignment horizontal="center" vertical="center"/>
    </xf>
    <xf numFmtId="0" fontId="7" fillId="9" borderId="18" xfId="0" applyFont="1" applyFill="1" applyBorder="1" applyAlignment="1">
      <alignment horizontal="right" vertical="center"/>
    </xf>
    <xf numFmtId="0" fontId="13" fillId="9" borderId="14" xfId="0" applyFont="1" applyFill="1" applyBorder="1" applyAlignment="1">
      <alignment vertical="center"/>
    </xf>
    <xf numFmtId="0" fontId="13" fillId="0" borderId="5" xfId="0" applyFont="1" applyBorder="1" applyAlignment="1">
      <alignment vertical="center" wrapText="1"/>
    </xf>
    <xf numFmtId="0" fontId="13" fillId="10" borderId="13" xfId="0" applyFont="1" applyFill="1" applyBorder="1" applyAlignment="1">
      <alignment horizontal="left" vertical="center"/>
    </xf>
    <xf numFmtId="0" fontId="13" fillId="10" borderId="18" xfId="0" applyFont="1" applyFill="1" applyBorder="1" applyAlignment="1">
      <alignment horizontal="left" vertical="center"/>
    </xf>
    <xf numFmtId="0" fontId="13" fillId="10" borderId="18" xfId="0" applyFont="1" applyFill="1" applyBorder="1" applyAlignment="1">
      <alignment vertical="center"/>
    </xf>
    <xf numFmtId="0" fontId="13" fillId="10" borderId="18" xfId="0" applyFont="1" applyFill="1" applyBorder="1" applyAlignment="1">
      <alignment horizontal="center" vertical="center"/>
    </xf>
    <xf numFmtId="0" fontId="7" fillId="10" borderId="18" xfId="0" applyFont="1" applyFill="1" applyBorder="1" applyAlignment="1">
      <alignment horizontal="right" vertical="center"/>
    </xf>
    <xf numFmtId="0" fontId="13" fillId="10" borderId="14" xfId="0" applyFont="1" applyFill="1" applyBorder="1" applyAlignment="1">
      <alignment vertical="center"/>
    </xf>
    <xf numFmtId="0" fontId="13" fillId="0" borderId="2" xfId="0" applyFont="1" applyBorder="1" applyAlignment="1">
      <alignment vertical="center" wrapText="1"/>
    </xf>
    <xf numFmtId="0" fontId="13" fillId="0" borderId="13" xfId="0" applyFont="1" applyBorder="1" applyAlignment="1">
      <alignment horizontal="left" vertical="center"/>
    </xf>
    <xf numFmtId="0" fontId="13" fillId="0" borderId="18" xfId="0" applyFont="1" applyBorder="1" applyAlignment="1">
      <alignment horizontal="center" vertical="center"/>
    </xf>
    <xf numFmtId="0" fontId="13" fillId="0" borderId="18" xfId="0" applyFont="1" applyBorder="1" applyAlignment="1">
      <alignment vertical="center"/>
    </xf>
    <xf numFmtId="0" fontId="13" fillId="5" borderId="1" xfId="0" applyFont="1" applyFill="1" applyBorder="1" applyAlignment="1">
      <alignment horizontal="left" vertical="center" wrapText="1"/>
    </xf>
    <xf numFmtId="0" fontId="13" fillId="5" borderId="13" xfId="0" applyFont="1" applyFill="1" applyBorder="1" applyAlignment="1">
      <alignment vertical="center"/>
    </xf>
    <xf numFmtId="0" fontId="13" fillId="5" borderId="18" xfId="0" applyFont="1" applyFill="1" applyBorder="1" applyAlignment="1">
      <alignment vertical="center"/>
    </xf>
    <xf numFmtId="0" fontId="7" fillId="5" borderId="18" xfId="0" applyFont="1" applyFill="1" applyBorder="1" applyAlignment="1">
      <alignment horizontal="right" vertical="center"/>
    </xf>
    <xf numFmtId="0" fontId="13" fillId="5" borderId="14" xfId="0" applyFont="1" applyFill="1" applyBorder="1" applyAlignment="1">
      <alignment vertical="center"/>
    </xf>
    <xf numFmtId="0" fontId="13" fillId="0" borderId="12" xfId="0" applyFont="1" applyBorder="1" applyAlignment="1">
      <alignment vertical="center" wrapText="1"/>
    </xf>
    <xf numFmtId="0" fontId="11" fillId="0" borderId="14"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2"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xf>
    <xf numFmtId="0" fontId="9" fillId="0" borderId="1" xfId="0" applyFont="1" applyBorder="1" applyAlignment="1">
      <alignment horizontal="right" vertical="center"/>
    </xf>
    <xf numFmtId="43" fontId="11" fillId="0" borderId="1" xfId="4" applyFont="1" applyBorder="1" applyAlignment="1">
      <alignment horizontal="justify" vertical="center"/>
    </xf>
    <xf numFmtId="17" fontId="11" fillId="0" borderId="1" xfId="4" applyNumberFormat="1" applyFont="1" applyBorder="1" applyAlignment="1">
      <alignment horizontal="justify" vertical="center"/>
    </xf>
    <xf numFmtId="43" fontId="11" fillId="0" borderId="13" xfId="2" applyNumberFormat="1" applyFont="1" applyBorder="1" applyAlignment="1">
      <alignment horizontal="right" vertical="center" wrapText="1"/>
    </xf>
    <xf numFmtId="43" fontId="11" fillId="0" borderId="13" xfId="4" applyFont="1" applyBorder="1" applyAlignment="1">
      <alignment horizontal="justify" vertical="center"/>
    </xf>
    <xf numFmtId="43" fontId="12" fillId="0" borderId="1" xfId="0" applyNumberFormat="1" applyFont="1" applyBorder="1" applyAlignment="1">
      <alignment vertical="center"/>
    </xf>
    <xf numFmtId="0" fontId="11" fillId="0" borderId="4" xfId="0" applyFont="1" applyBorder="1" applyAlignment="1">
      <alignment vertical="center" wrapText="1"/>
    </xf>
    <xf numFmtId="0" fontId="13" fillId="0" borderId="4" xfId="0" applyFont="1" applyBorder="1" applyAlignment="1">
      <alignment vertical="center" wrapText="1"/>
    </xf>
    <xf numFmtId="0" fontId="11" fillId="13" borderId="1" xfId="0" applyFont="1" applyFill="1" applyBorder="1" applyAlignment="1">
      <alignment horizontal="justify" vertical="center" wrapText="1"/>
    </xf>
    <xf numFmtId="0" fontId="11" fillId="13" borderId="1" xfId="0" applyFont="1" applyFill="1" applyBorder="1" applyAlignment="1">
      <alignment horizontal="center" vertical="center" wrapText="1"/>
    </xf>
    <xf numFmtId="0" fontId="11" fillId="13" borderId="1" xfId="0" applyFont="1" applyFill="1" applyBorder="1" applyAlignment="1">
      <alignment horizontal="center" vertical="center"/>
    </xf>
    <xf numFmtId="0" fontId="9" fillId="13" borderId="1" xfId="0" applyFont="1" applyFill="1" applyBorder="1" applyAlignment="1">
      <alignment horizontal="right" vertical="center" wrapText="1"/>
    </xf>
    <xf numFmtId="43" fontId="11" fillId="13" borderId="1" xfId="4" applyFont="1" applyFill="1" applyBorder="1" applyAlignment="1">
      <alignment horizontal="justify" vertical="center"/>
    </xf>
    <xf numFmtId="0" fontId="13" fillId="0" borderId="8" xfId="0" applyFont="1" applyBorder="1" applyAlignment="1">
      <alignment vertical="center" wrapText="1"/>
    </xf>
    <xf numFmtId="0" fontId="11" fillId="10" borderId="1" xfId="0" applyFont="1" applyFill="1" applyBorder="1" applyAlignment="1">
      <alignment horizontal="justify"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horizontal="center" vertical="center"/>
    </xf>
    <xf numFmtId="0" fontId="9" fillId="10" borderId="1" xfId="0" applyFont="1" applyFill="1" applyBorder="1" applyAlignment="1">
      <alignment horizontal="right" vertical="center" wrapText="1"/>
    </xf>
    <xf numFmtId="43" fontId="11" fillId="10" borderId="1" xfId="4" applyFont="1" applyFill="1" applyBorder="1" applyAlignment="1">
      <alignment horizontal="justify" vertical="center"/>
    </xf>
    <xf numFmtId="0" fontId="11" fillId="9" borderId="1" xfId="0" applyFont="1" applyFill="1" applyBorder="1" applyAlignment="1">
      <alignment horizontal="justify"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9" fillId="9" borderId="1" xfId="0" applyFont="1" applyFill="1" applyBorder="1" applyAlignment="1">
      <alignment horizontal="right" vertical="center" wrapText="1"/>
    </xf>
    <xf numFmtId="43" fontId="11" fillId="9" borderId="1" xfId="4" applyFont="1" applyFill="1" applyBorder="1" applyAlignment="1">
      <alignment horizontal="justify" vertical="center"/>
    </xf>
    <xf numFmtId="0" fontId="11" fillId="14" borderId="1" xfId="0" applyFont="1" applyFill="1" applyBorder="1" applyAlignment="1">
      <alignment horizontal="justify" vertic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9" fillId="14" borderId="1" xfId="0" applyFont="1" applyFill="1" applyBorder="1" applyAlignment="1">
      <alignment horizontal="right" vertical="center" wrapText="1"/>
    </xf>
    <xf numFmtId="43" fontId="11" fillId="14" borderId="1" xfId="4" applyFont="1" applyFill="1" applyBorder="1" applyAlignment="1">
      <alignment horizontal="justify" vertical="center"/>
    </xf>
    <xf numFmtId="0" fontId="11" fillId="0" borderId="13" xfId="0" applyFont="1" applyBorder="1" applyAlignment="1">
      <alignment horizontal="justify" vertical="center" wrapText="1"/>
    </xf>
    <xf numFmtId="0" fontId="11" fillId="0" borderId="18" xfId="0" applyFont="1" applyBorder="1" applyAlignment="1">
      <alignment horizontal="justify" vertical="center" wrapText="1"/>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0" fontId="9" fillId="0" borderId="18" xfId="0" applyFont="1" applyBorder="1" applyAlignment="1">
      <alignment horizontal="right" vertical="center" wrapText="1"/>
    </xf>
    <xf numFmtId="43" fontId="11" fillId="0" borderId="18" xfId="4" applyFont="1" applyBorder="1" applyAlignment="1">
      <alignment horizontal="justify" vertical="center"/>
    </xf>
    <xf numFmtId="43" fontId="11" fillId="2" borderId="18" xfId="4" applyFont="1" applyFill="1" applyBorder="1" applyAlignment="1">
      <alignment horizontal="justify" vertical="center"/>
    </xf>
    <xf numFmtId="43" fontId="7" fillId="0" borderId="18" xfId="2" applyNumberFormat="1" applyFont="1" applyBorder="1" applyAlignment="1">
      <alignment horizontal="center" vertical="center"/>
    </xf>
    <xf numFmtId="43" fontId="11" fillId="2" borderId="0" xfId="4" applyFont="1" applyFill="1" applyBorder="1" applyAlignment="1">
      <alignment horizontal="justify" vertical="center"/>
    </xf>
    <xf numFmtId="0" fontId="12" fillId="2" borderId="3" xfId="0" applyFont="1" applyFill="1" applyBorder="1"/>
    <xf numFmtId="43" fontId="13" fillId="12" borderId="18" xfId="0" applyNumberFormat="1" applyFont="1" applyFill="1" applyBorder="1" applyAlignment="1">
      <alignment horizontal="left" vertical="center"/>
    </xf>
    <xf numFmtId="43" fontId="13" fillId="12" borderId="18" xfId="2" applyNumberFormat="1" applyFont="1" applyFill="1" applyBorder="1" applyAlignment="1">
      <alignment horizontal="center" vertical="center"/>
    </xf>
    <xf numFmtId="43" fontId="13" fillId="12" borderId="14" xfId="0" applyNumberFormat="1" applyFont="1" applyFill="1" applyBorder="1" applyAlignment="1">
      <alignment horizontal="left" vertical="center"/>
    </xf>
    <xf numFmtId="43" fontId="13" fillId="9" borderId="18" xfId="0" applyNumberFormat="1" applyFont="1" applyFill="1" applyBorder="1" applyAlignment="1">
      <alignment vertical="center"/>
    </xf>
    <xf numFmtId="43" fontId="13" fillId="9" borderId="18" xfId="2" applyNumberFormat="1" applyFont="1" applyFill="1" applyBorder="1" applyAlignment="1">
      <alignment horizontal="center" vertical="center"/>
    </xf>
    <xf numFmtId="43" fontId="13" fillId="9" borderId="14" xfId="0" applyNumberFormat="1" applyFont="1" applyFill="1" applyBorder="1" applyAlignment="1">
      <alignment vertical="center"/>
    </xf>
    <xf numFmtId="0" fontId="13" fillId="0" borderId="11" xfId="0" applyFont="1" applyBorder="1" applyAlignment="1">
      <alignment vertical="center" wrapText="1"/>
    </xf>
    <xf numFmtId="43" fontId="13" fillId="10" borderId="18" xfId="0" applyNumberFormat="1" applyFont="1" applyFill="1" applyBorder="1" applyAlignment="1">
      <alignment vertical="center"/>
    </xf>
    <xf numFmtId="43" fontId="13" fillId="10" borderId="18" xfId="2" applyNumberFormat="1" applyFont="1" applyFill="1" applyBorder="1" applyAlignment="1">
      <alignment horizontal="center" vertical="center"/>
    </xf>
    <xf numFmtId="43" fontId="13" fillId="10" borderId="14" xfId="0" applyNumberFormat="1" applyFont="1" applyFill="1" applyBorder="1" applyAlignment="1">
      <alignment vertical="center"/>
    </xf>
    <xf numFmtId="0" fontId="13" fillId="0" borderId="1" xfId="0" applyFont="1" applyBorder="1" applyAlignment="1">
      <alignment horizontal="center" vertical="center" wrapText="1"/>
    </xf>
    <xf numFmtId="0" fontId="13" fillId="0" borderId="18" xfId="0" applyFont="1" applyBorder="1" applyAlignment="1">
      <alignment vertical="center" wrapText="1"/>
    </xf>
    <xf numFmtId="0" fontId="13" fillId="13" borderId="13" xfId="0" applyFont="1" applyFill="1" applyBorder="1" applyAlignment="1">
      <alignment horizontal="justify" vertical="center" wrapText="1"/>
    </xf>
    <xf numFmtId="0" fontId="13" fillId="13" borderId="18" xfId="0" applyFont="1" applyFill="1" applyBorder="1" applyAlignment="1">
      <alignment horizontal="left" vertical="center"/>
    </xf>
    <xf numFmtId="0" fontId="13" fillId="13" borderId="18" xfId="0" applyFont="1" applyFill="1" applyBorder="1" applyAlignment="1">
      <alignment vertical="center"/>
    </xf>
    <xf numFmtId="0" fontId="7" fillId="13" borderId="18" xfId="0" applyFont="1" applyFill="1" applyBorder="1" applyAlignment="1">
      <alignment horizontal="right" vertical="center"/>
    </xf>
    <xf numFmtId="43" fontId="13" fillId="13" borderId="18" xfId="0" applyNumberFormat="1" applyFont="1" applyFill="1" applyBorder="1" applyAlignment="1">
      <alignment vertical="center"/>
    </xf>
    <xf numFmtId="43" fontId="13" fillId="13" borderId="18" xfId="2" applyNumberFormat="1" applyFont="1" applyFill="1" applyBorder="1" applyAlignment="1">
      <alignment horizontal="center" vertical="center"/>
    </xf>
    <xf numFmtId="43" fontId="13" fillId="13" borderId="14" xfId="0" applyNumberFormat="1" applyFont="1" applyFill="1" applyBorder="1" applyAlignment="1">
      <alignment vertical="center"/>
    </xf>
    <xf numFmtId="0" fontId="11" fillId="0" borderId="14" xfId="0" applyFont="1" applyBorder="1" applyAlignment="1">
      <alignment horizontal="justify" vertical="center" wrapText="1"/>
    </xf>
    <xf numFmtId="0" fontId="9" fillId="0" borderId="1" xfId="0" applyFont="1" applyBorder="1" applyAlignment="1">
      <alignment horizontal="right" vertical="center" wrapText="1"/>
    </xf>
    <xf numFmtId="0" fontId="11" fillId="15" borderId="13" xfId="0" applyFont="1" applyFill="1" applyBorder="1" applyAlignment="1">
      <alignment horizontal="justify" vertical="center" wrapText="1"/>
    </xf>
    <xf numFmtId="0" fontId="11" fillId="15" borderId="18" xfId="0" applyFont="1" applyFill="1" applyBorder="1" applyAlignment="1">
      <alignment horizontal="center" vertical="center" wrapText="1"/>
    </xf>
    <xf numFmtId="0" fontId="11" fillId="15" borderId="18" xfId="0" applyFont="1" applyFill="1" applyBorder="1" applyAlignment="1">
      <alignment horizontal="justify" vertical="center" wrapText="1"/>
    </xf>
    <xf numFmtId="0" fontId="11" fillId="15" borderId="18" xfId="0" applyFont="1" applyFill="1" applyBorder="1" applyAlignment="1">
      <alignment horizontal="justify" vertical="center"/>
    </xf>
    <xf numFmtId="0" fontId="9" fillId="15" borderId="18" xfId="0" applyFont="1" applyFill="1" applyBorder="1" applyAlignment="1">
      <alignment horizontal="right" vertical="center" wrapText="1"/>
    </xf>
    <xf numFmtId="43" fontId="11" fillId="15" borderId="1" xfId="4" applyFont="1" applyFill="1" applyBorder="1" applyAlignment="1">
      <alignment horizontal="justify" vertical="center"/>
    </xf>
    <xf numFmtId="43" fontId="11" fillId="0" borderId="18" xfId="2" applyNumberFormat="1" applyFont="1" applyBorder="1" applyAlignment="1">
      <alignment horizontal="center" vertical="center"/>
    </xf>
    <xf numFmtId="0" fontId="13" fillId="15" borderId="18" xfId="0" applyFont="1" applyFill="1" applyBorder="1" applyAlignment="1">
      <alignment horizontal="justify" vertical="center" wrapText="1"/>
    </xf>
    <xf numFmtId="0" fontId="13" fillId="15" borderId="18" xfId="0" applyFont="1" applyFill="1" applyBorder="1" applyAlignment="1">
      <alignment horizontal="left" vertical="center"/>
    </xf>
    <xf numFmtId="0" fontId="13" fillId="15" borderId="18" xfId="0" applyFont="1" applyFill="1" applyBorder="1" applyAlignment="1">
      <alignment vertical="center"/>
    </xf>
    <xf numFmtId="0" fontId="7" fillId="15" borderId="18" xfId="0" applyFont="1" applyFill="1" applyBorder="1" applyAlignment="1">
      <alignment horizontal="right" vertical="center"/>
    </xf>
    <xf numFmtId="43" fontId="13" fillId="15" borderId="18" xfId="0" applyNumberFormat="1" applyFont="1" applyFill="1" applyBorder="1" applyAlignment="1">
      <alignment vertical="center"/>
    </xf>
    <xf numFmtId="43" fontId="13" fillId="15" borderId="18" xfId="2" applyNumberFormat="1" applyFont="1" applyFill="1" applyBorder="1" applyAlignment="1">
      <alignment horizontal="center" vertical="center"/>
    </xf>
    <xf numFmtId="43" fontId="13" fillId="15" borderId="14" xfId="0" applyNumberFormat="1" applyFont="1" applyFill="1" applyBorder="1" applyAlignment="1">
      <alignment vertical="center"/>
    </xf>
    <xf numFmtId="0" fontId="11" fillId="10" borderId="18" xfId="0" applyFont="1" applyFill="1" applyBorder="1" applyAlignment="1">
      <alignment horizontal="justify" vertical="center" wrapText="1"/>
    </xf>
    <xf numFmtId="0" fontId="11" fillId="10" borderId="18" xfId="0" applyFont="1" applyFill="1" applyBorder="1" applyAlignment="1">
      <alignment horizontal="center" vertical="center" wrapText="1"/>
    </xf>
    <xf numFmtId="0" fontId="11" fillId="10" borderId="18" xfId="0" applyFont="1" applyFill="1" applyBorder="1" applyAlignment="1">
      <alignment horizontal="justify" vertical="center"/>
    </xf>
    <xf numFmtId="0" fontId="9" fillId="10" borderId="18" xfId="0" applyFont="1" applyFill="1" applyBorder="1" applyAlignment="1">
      <alignment horizontal="right" vertical="center" wrapText="1"/>
    </xf>
    <xf numFmtId="43" fontId="11" fillId="10" borderId="18" xfId="4" applyFont="1" applyFill="1" applyBorder="1" applyAlignment="1">
      <alignment horizontal="justify" vertical="center"/>
    </xf>
    <xf numFmtId="0" fontId="11" fillId="0" borderId="18" xfId="0" applyFont="1" applyBorder="1" applyAlignment="1">
      <alignment horizontal="justify" vertical="center"/>
    </xf>
    <xf numFmtId="0" fontId="11" fillId="0" borderId="11" xfId="0" applyFont="1" applyBorder="1" applyAlignment="1">
      <alignment vertical="center" wrapText="1"/>
    </xf>
    <xf numFmtId="0" fontId="11" fillId="0" borderId="18" xfId="0" applyFont="1" applyBorder="1" applyAlignment="1">
      <alignment vertical="center" wrapText="1"/>
    </xf>
    <xf numFmtId="0" fontId="11" fillId="0" borderId="11" xfId="0" applyFont="1" applyBorder="1" applyAlignment="1">
      <alignment horizontal="justify" vertical="center" wrapText="1"/>
    </xf>
    <xf numFmtId="0" fontId="11" fillId="0" borderId="11" xfId="0" applyFont="1" applyBorder="1" applyAlignment="1">
      <alignment horizontal="center" vertical="center" wrapText="1"/>
    </xf>
    <xf numFmtId="0" fontId="11" fillId="13" borderId="11" xfId="0" applyFont="1" applyFill="1" applyBorder="1" applyAlignment="1">
      <alignment horizontal="justify" vertical="center" wrapText="1"/>
    </xf>
    <xf numFmtId="0" fontId="11" fillId="13" borderId="11" xfId="0" applyFont="1" applyFill="1" applyBorder="1" applyAlignment="1">
      <alignment horizontal="center" vertical="center" wrapText="1"/>
    </xf>
    <xf numFmtId="0" fontId="11" fillId="10" borderId="14" xfId="0" applyFont="1" applyFill="1" applyBorder="1" applyAlignment="1">
      <alignment horizontal="justify" vertical="center" wrapText="1"/>
    </xf>
    <xf numFmtId="0" fontId="11" fillId="10" borderId="13" xfId="0" applyFont="1" applyFill="1" applyBorder="1" applyAlignment="1">
      <alignment horizontal="center" vertical="center" wrapText="1"/>
    </xf>
    <xf numFmtId="0" fontId="11" fillId="10" borderId="11" xfId="0" applyFont="1" applyFill="1" applyBorder="1" applyAlignment="1">
      <alignment horizontal="justify" vertical="center" wrapText="1"/>
    </xf>
    <xf numFmtId="0" fontId="11" fillId="10" borderId="11" xfId="0" applyFont="1" applyFill="1" applyBorder="1" applyAlignment="1">
      <alignment horizontal="center" vertical="center" wrapText="1"/>
    </xf>
    <xf numFmtId="0" fontId="11" fillId="0" borderId="6" xfId="0" applyFont="1" applyBorder="1" applyAlignment="1">
      <alignment horizontal="justify" vertical="center" wrapText="1"/>
    </xf>
    <xf numFmtId="0" fontId="11" fillId="0" borderId="6" xfId="0" applyFont="1" applyBorder="1" applyAlignment="1">
      <alignment horizontal="center" vertical="center" wrapText="1"/>
    </xf>
    <xf numFmtId="43" fontId="11" fillId="0" borderId="14" xfId="4" applyFont="1" applyBorder="1" applyAlignment="1">
      <alignment horizontal="justify" vertical="center"/>
    </xf>
    <xf numFmtId="0" fontId="13" fillId="10" borderId="1" xfId="0" applyFont="1" applyFill="1" applyBorder="1" applyAlignment="1">
      <alignment horizontal="justify" vertical="center" wrapText="1"/>
    </xf>
    <xf numFmtId="0" fontId="11" fillId="0" borderId="7" xfId="0" applyFont="1" applyBorder="1" applyAlignment="1">
      <alignment vertical="center" wrapText="1"/>
    </xf>
    <xf numFmtId="0" fontId="13" fillId="5" borderId="1" xfId="0" applyFont="1" applyFill="1" applyBorder="1" applyAlignment="1">
      <alignment horizontal="justify" vertical="center" wrapText="1"/>
    </xf>
    <xf numFmtId="0" fontId="13" fillId="5" borderId="5" xfId="0" applyFont="1" applyFill="1" applyBorder="1" applyAlignment="1">
      <alignment horizontal="left" vertical="center"/>
    </xf>
    <xf numFmtId="0" fontId="13" fillId="5" borderId="6" xfId="0" applyFont="1" applyFill="1" applyBorder="1" applyAlignment="1">
      <alignment vertical="center"/>
    </xf>
    <xf numFmtId="0" fontId="7" fillId="5" borderId="6" xfId="0" applyFont="1" applyFill="1" applyBorder="1" applyAlignment="1">
      <alignment horizontal="right" vertical="center"/>
    </xf>
    <xf numFmtId="43" fontId="13" fillId="5" borderId="6" xfId="0" applyNumberFormat="1" applyFont="1" applyFill="1" applyBorder="1" applyAlignment="1">
      <alignment vertical="center"/>
    </xf>
    <xf numFmtId="43" fontId="13" fillId="5" borderId="6" xfId="2" applyNumberFormat="1" applyFont="1" applyFill="1" applyBorder="1" applyAlignment="1">
      <alignment horizontal="center" vertical="center"/>
    </xf>
    <xf numFmtId="43" fontId="13" fillId="5" borderId="7" xfId="0" applyNumberFormat="1" applyFont="1" applyFill="1" applyBorder="1" applyAlignment="1">
      <alignment vertical="center"/>
    </xf>
    <xf numFmtId="0" fontId="13" fillId="2" borderId="2" xfId="0" applyFont="1" applyFill="1" applyBorder="1" applyAlignment="1">
      <alignment vertical="center" wrapText="1"/>
    </xf>
    <xf numFmtId="0" fontId="11" fillId="2" borderId="12" xfId="0" applyFont="1" applyFill="1" applyBorder="1" applyAlignment="1">
      <alignment vertical="center" wrapText="1"/>
    </xf>
    <xf numFmtId="0" fontId="11" fillId="0" borderId="7" xfId="0" applyFont="1" applyBorder="1" applyAlignment="1">
      <alignment horizontal="center" vertical="center" wrapText="1"/>
    </xf>
    <xf numFmtId="0" fontId="13" fillId="2" borderId="0" xfId="0" applyFont="1" applyFill="1" applyBorder="1" applyAlignment="1">
      <alignment horizontal="justify" vertical="center" wrapText="1"/>
    </xf>
    <xf numFmtId="0" fontId="11" fillId="2"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11" fillId="2" borderId="1" xfId="0" applyFont="1" applyFill="1" applyBorder="1" applyAlignment="1">
      <alignment vertical="center" wrapText="1"/>
    </xf>
    <xf numFmtId="0" fontId="9" fillId="0" borderId="1" xfId="0" applyFont="1" applyFill="1" applyBorder="1" applyAlignment="1">
      <alignment horizontal="right" vertical="center" wrapText="1"/>
    </xf>
    <xf numFmtId="0" fontId="13" fillId="2" borderId="1" xfId="0" applyFont="1" applyFill="1" applyBorder="1" applyAlignment="1">
      <alignment horizontal="center" vertical="center"/>
    </xf>
    <xf numFmtId="43" fontId="13" fillId="2" borderId="1" xfId="0" applyNumberFormat="1" applyFont="1" applyFill="1" applyBorder="1" applyAlignment="1">
      <alignment vertical="center"/>
    </xf>
    <xf numFmtId="43" fontId="11" fillId="0" borderId="1" xfId="2" applyNumberFormat="1" applyFont="1" applyBorder="1" applyAlignment="1">
      <alignment horizontal="center" vertical="center"/>
    </xf>
    <xf numFmtId="0" fontId="17" fillId="0" borderId="12" xfId="0" applyFont="1" applyBorder="1" applyAlignment="1">
      <alignment vertical="center" wrapText="1"/>
    </xf>
    <xf numFmtId="0" fontId="17" fillId="0" borderId="4" xfId="0" applyFont="1" applyBorder="1" applyAlignment="1">
      <alignment horizontal="center" vertical="center" wrapText="1"/>
    </xf>
    <xf numFmtId="0" fontId="17" fillId="0" borderId="4" xfId="0" applyFont="1" applyBorder="1" applyAlignment="1">
      <alignment horizontal="justify" vertical="center" wrapText="1"/>
    </xf>
    <xf numFmtId="169" fontId="17" fillId="0" borderId="4" xfId="4" applyNumberFormat="1" applyFont="1" applyBorder="1" applyAlignment="1">
      <alignment horizontal="center" vertical="center" wrapText="1"/>
    </xf>
    <xf numFmtId="43" fontId="17" fillId="0" borderId="4" xfId="4" applyFont="1" applyBorder="1" applyAlignment="1">
      <alignment horizontal="justify" vertical="center"/>
    </xf>
    <xf numFmtId="43" fontId="17" fillId="0" borderId="8" xfId="2" applyNumberFormat="1" applyFont="1" applyBorder="1" applyAlignment="1">
      <alignment horizontal="right" vertical="center" wrapText="1"/>
    </xf>
    <xf numFmtId="43" fontId="17" fillId="0" borderId="8" xfId="4" applyFont="1" applyBorder="1" applyAlignment="1">
      <alignment horizontal="justify" vertical="center"/>
    </xf>
    <xf numFmtId="0" fontId="0" fillId="0" borderId="0" xfId="0" applyFill="1" applyBorder="1"/>
    <xf numFmtId="169" fontId="11" fillId="0" borderId="1" xfId="4" applyNumberFormat="1" applyFont="1" applyBorder="1" applyAlignment="1">
      <alignment horizontal="center" vertical="center" wrapText="1"/>
    </xf>
    <xf numFmtId="0" fontId="11" fillId="0" borderId="0" xfId="0" applyFont="1" applyBorder="1" applyAlignment="1">
      <alignment vertical="center" wrapText="1"/>
    </xf>
    <xf numFmtId="0" fontId="11" fillId="13" borderId="11" xfId="0" applyFont="1" applyFill="1" applyBorder="1" applyAlignment="1">
      <alignment horizontal="center" vertical="center"/>
    </xf>
    <xf numFmtId="0" fontId="9" fillId="13" borderId="11" xfId="0" applyFont="1" applyFill="1" applyBorder="1" applyAlignment="1">
      <alignment horizontal="right" vertical="center" wrapText="1"/>
    </xf>
    <xf numFmtId="43" fontId="11" fillId="13" borderId="11" xfId="4" applyFont="1" applyFill="1" applyBorder="1" applyAlignment="1">
      <alignment horizontal="justify" vertical="center"/>
    </xf>
    <xf numFmtId="0" fontId="11" fillId="0" borderId="2"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9" fillId="0" borderId="0" xfId="0" applyFont="1" applyBorder="1" applyAlignment="1">
      <alignment horizontal="right" vertical="center" wrapText="1"/>
    </xf>
    <xf numFmtId="0" fontId="11" fillId="0" borderId="9" xfId="0" applyFont="1" applyBorder="1" applyAlignment="1">
      <alignment horizontal="center" vertical="center" wrapText="1"/>
    </xf>
    <xf numFmtId="43" fontId="11" fillId="0" borderId="0" xfId="4" applyFont="1" applyBorder="1" applyAlignment="1">
      <alignment horizontal="justify" vertical="center"/>
    </xf>
    <xf numFmtId="43" fontId="7" fillId="0" borderId="0" xfId="2" applyNumberFormat="1" applyFont="1" applyBorder="1" applyAlignment="1">
      <alignment horizontal="center" vertical="center"/>
    </xf>
    <xf numFmtId="0" fontId="16" fillId="2" borderId="3" xfId="0" applyFont="1" applyFill="1" applyBorder="1" applyAlignment="1">
      <alignment vertical="center"/>
    </xf>
    <xf numFmtId="0" fontId="16" fillId="12" borderId="5" xfId="0" applyFont="1" applyFill="1" applyBorder="1" applyAlignment="1">
      <alignment horizontal="left" vertical="center"/>
    </xf>
    <xf numFmtId="0" fontId="16" fillId="12" borderId="6" xfId="0" applyFont="1" applyFill="1" applyBorder="1" applyAlignment="1">
      <alignment horizontal="left" vertical="center"/>
    </xf>
    <xf numFmtId="0" fontId="16" fillId="12" borderId="6" xfId="0" applyFont="1" applyFill="1" applyBorder="1" applyAlignment="1">
      <alignment horizontal="center" vertical="center"/>
    </xf>
    <xf numFmtId="0" fontId="7" fillId="12" borderId="6" xfId="0" applyFont="1" applyFill="1" applyBorder="1" applyAlignment="1">
      <alignment horizontal="right" vertical="center"/>
    </xf>
    <xf numFmtId="43" fontId="13" fillId="12" borderId="6" xfId="0" applyNumberFormat="1" applyFont="1" applyFill="1" applyBorder="1" applyAlignment="1">
      <alignment horizontal="left" vertical="center"/>
    </xf>
    <xf numFmtId="43" fontId="13" fillId="12" borderId="6" xfId="2" applyNumberFormat="1" applyFont="1" applyFill="1" applyBorder="1" applyAlignment="1">
      <alignment horizontal="center" vertical="center"/>
    </xf>
    <xf numFmtId="43" fontId="13" fillId="12" borderId="7" xfId="0" applyNumberFormat="1" applyFont="1" applyFill="1" applyBorder="1" applyAlignment="1">
      <alignment horizontal="left" vertical="center"/>
    </xf>
    <xf numFmtId="0" fontId="13" fillId="10" borderId="18" xfId="0" applyFont="1" applyFill="1" applyBorder="1" applyAlignment="1">
      <alignment horizontal="justify" vertical="center" wrapText="1"/>
    </xf>
    <xf numFmtId="0" fontId="13" fillId="0" borderId="7" xfId="0" applyFont="1" applyBorder="1" applyAlignment="1">
      <alignment vertical="center" wrapText="1"/>
    </xf>
    <xf numFmtId="0" fontId="13" fillId="0" borderId="18" xfId="0" applyFont="1" applyBorder="1" applyAlignment="1">
      <alignment horizontal="center" vertical="center" wrapText="1"/>
    </xf>
    <xf numFmtId="0" fontId="13" fillId="0" borderId="3" xfId="0" applyFont="1" applyBorder="1" applyAlignment="1">
      <alignment vertical="center" wrapText="1"/>
    </xf>
    <xf numFmtId="0" fontId="11" fillId="0" borderId="1"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horizontal="justify" vertical="center" wrapText="1"/>
    </xf>
    <xf numFmtId="43" fontId="13" fillId="0" borderId="1" xfId="0" applyNumberFormat="1" applyFont="1" applyBorder="1" applyAlignment="1">
      <alignment horizontal="left" vertical="center"/>
    </xf>
    <xf numFmtId="43" fontId="13" fillId="0" borderId="4" xfId="0" applyNumberFormat="1" applyFont="1" applyBorder="1" applyAlignment="1">
      <alignment horizontal="left" vertical="center"/>
    </xf>
    <xf numFmtId="43" fontId="11" fillId="0" borderId="4" xfId="4" applyFont="1" applyBorder="1" applyAlignment="1">
      <alignment horizontal="justify" vertical="center"/>
    </xf>
    <xf numFmtId="43" fontId="11" fillId="0" borderId="1" xfId="2" applyNumberFormat="1" applyFont="1" applyBorder="1" applyAlignment="1">
      <alignment horizontal="right" vertical="center" wrapText="1"/>
    </xf>
    <xf numFmtId="43" fontId="13" fillId="0" borderId="13" xfId="0" applyNumberFormat="1" applyFont="1" applyBorder="1" applyAlignment="1">
      <alignment horizontal="left" vertical="center"/>
    </xf>
    <xf numFmtId="0" fontId="13" fillId="2" borderId="12" xfId="0" applyFont="1" applyFill="1" applyBorder="1" applyAlignment="1">
      <alignment vertical="center" wrapText="1"/>
    </xf>
    <xf numFmtId="0" fontId="13" fillId="2" borderId="3" xfId="0" applyFont="1" applyFill="1" applyBorder="1" applyAlignment="1">
      <alignment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justify" vertical="center" wrapText="1"/>
    </xf>
    <xf numFmtId="43" fontId="13" fillId="2" borderId="1" xfId="0" applyNumberFormat="1" applyFont="1" applyFill="1" applyBorder="1" applyAlignment="1">
      <alignment horizontal="left" vertical="center"/>
    </xf>
    <xf numFmtId="43" fontId="13" fillId="2" borderId="4" xfId="0" applyNumberFormat="1" applyFont="1" applyFill="1" applyBorder="1" applyAlignment="1">
      <alignment horizontal="left" vertical="center"/>
    </xf>
    <xf numFmtId="43" fontId="11" fillId="2" borderId="13" xfId="2" applyNumberFormat="1" applyFont="1" applyFill="1" applyBorder="1" applyAlignment="1">
      <alignment horizontal="right" vertical="center" wrapText="1"/>
    </xf>
    <xf numFmtId="43" fontId="11" fillId="2" borderId="13" xfId="4" applyFont="1" applyFill="1" applyBorder="1" applyAlignment="1">
      <alignment horizontal="justify" vertical="center"/>
    </xf>
    <xf numFmtId="0" fontId="11" fillId="0" borderId="4" xfId="0" applyFont="1" applyBorder="1" applyAlignment="1">
      <alignment horizontal="justify" vertical="center"/>
    </xf>
    <xf numFmtId="0" fontId="9" fillId="0" borderId="4" xfId="0" applyFont="1" applyBorder="1" applyAlignment="1">
      <alignment horizontal="right" vertical="center" wrapText="1"/>
    </xf>
    <xf numFmtId="0" fontId="13" fillId="0" borderId="10" xfId="0" applyFont="1" applyBorder="1" applyAlignment="1">
      <alignment vertical="center" wrapText="1"/>
    </xf>
    <xf numFmtId="43" fontId="11" fillId="13" borderId="1" xfId="2" applyNumberFormat="1" applyFont="1" applyFill="1" applyBorder="1" applyAlignment="1">
      <alignment horizontal="center" vertical="center"/>
    </xf>
    <xf numFmtId="43" fontId="11" fillId="10" borderId="1" xfId="2" applyNumberFormat="1" applyFont="1" applyFill="1" applyBorder="1" applyAlignment="1">
      <alignment horizontal="center" vertical="center"/>
    </xf>
    <xf numFmtId="43" fontId="11" fillId="9" borderId="1" xfId="2" applyNumberFormat="1" applyFont="1" applyFill="1" applyBorder="1" applyAlignment="1">
      <alignment horizontal="center" vertical="center"/>
    </xf>
    <xf numFmtId="43" fontId="11" fillId="14" borderId="1" xfId="2" applyNumberFormat="1" applyFont="1" applyFill="1" applyBorder="1" applyAlignment="1">
      <alignment horizontal="center" vertical="center"/>
    </xf>
    <xf numFmtId="0" fontId="13" fillId="0" borderId="6" xfId="0" applyFont="1" applyBorder="1" applyAlignment="1">
      <alignment vertical="center" wrapText="1"/>
    </xf>
    <xf numFmtId="0" fontId="13" fillId="0" borderId="12" xfId="0" applyFont="1" applyFill="1" applyBorder="1" applyAlignment="1">
      <alignment vertical="center" wrapText="1"/>
    </xf>
    <xf numFmtId="0" fontId="13" fillId="0" borderId="0" xfId="0" applyFont="1" applyFill="1" applyBorder="1" applyAlignment="1">
      <alignment vertical="center" wrapText="1"/>
    </xf>
    <xf numFmtId="0" fontId="11" fillId="0" borderId="11" xfId="0" applyFont="1" applyFill="1" applyBorder="1" applyAlignment="1">
      <alignment horizontal="center" vertical="center" wrapText="1"/>
    </xf>
    <xf numFmtId="0" fontId="11" fillId="0" borderId="11" xfId="0" applyFont="1" applyFill="1" applyBorder="1" applyAlignment="1">
      <alignment horizontal="justify" vertical="center" wrapText="1"/>
    </xf>
    <xf numFmtId="0" fontId="11" fillId="0" borderId="12" xfId="0" applyFont="1" applyFill="1" applyBorder="1" applyAlignment="1">
      <alignment vertical="center" wrapText="1"/>
    </xf>
    <xf numFmtId="0" fontId="11" fillId="0" borderId="1" xfId="2"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43" fontId="11" fillId="0" borderId="1" xfId="4" applyFont="1" applyFill="1" applyBorder="1" applyAlignment="1">
      <alignment horizontal="justify" vertical="center"/>
    </xf>
    <xf numFmtId="43" fontId="11" fillId="0" borderId="1" xfId="2" applyNumberFormat="1" applyFont="1" applyFill="1" applyBorder="1" applyAlignment="1">
      <alignment horizontal="center" vertical="center" wrapText="1"/>
    </xf>
    <xf numFmtId="43" fontId="11" fillId="0" borderId="13" xfId="2" applyNumberFormat="1" applyFont="1" applyFill="1" applyBorder="1" applyAlignment="1">
      <alignment horizontal="right" vertical="center" wrapText="1"/>
    </xf>
    <xf numFmtId="43" fontId="11" fillId="0" borderId="13" xfId="4" applyFont="1" applyFill="1" applyBorder="1" applyAlignment="1">
      <alignment horizontal="justify" vertical="center"/>
    </xf>
    <xf numFmtId="0" fontId="13" fillId="0" borderId="0" xfId="0" applyFont="1" applyBorder="1" applyAlignment="1">
      <alignment vertical="center" wrapText="1"/>
    </xf>
    <xf numFmtId="43" fontId="11" fillId="2" borderId="1" xfId="4" applyFont="1" applyFill="1" applyBorder="1" applyAlignment="1">
      <alignment horizontal="justify" vertical="center"/>
    </xf>
    <xf numFmtId="43" fontId="11" fillId="0" borderId="13" xfId="2" applyNumberFormat="1" applyFont="1" applyBorder="1" applyAlignment="1">
      <alignment horizontal="center" vertical="center"/>
    </xf>
    <xf numFmtId="0" fontId="11" fillId="0" borderId="13" xfId="0" applyFont="1" applyBorder="1" applyAlignment="1">
      <alignment horizontal="center" vertical="center" wrapText="1"/>
    </xf>
    <xf numFmtId="0" fontId="13" fillId="13" borderId="1" xfId="0" applyFont="1" applyFill="1" applyBorder="1" applyAlignment="1">
      <alignment horizontal="justify" vertical="center" wrapText="1"/>
    </xf>
    <xf numFmtId="0" fontId="13" fillId="13" borderId="13" xfId="0" applyFont="1" applyFill="1" applyBorder="1" applyAlignment="1">
      <alignment horizontal="left" vertical="center"/>
    </xf>
    <xf numFmtId="0" fontId="13" fillId="13" borderId="18" xfId="0" applyFont="1" applyFill="1" applyBorder="1" applyAlignment="1">
      <alignment horizontal="justify" vertical="center"/>
    </xf>
    <xf numFmtId="0" fontId="11" fillId="0" borderId="11" xfId="0" applyFont="1" applyFill="1" applyBorder="1" applyAlignment="1">
      <alignment vertical="center" wrapText="1"/>
    </xf>
    <xf numFmtId="166" fontId="12" fillId="0" borderId="1" xfId="0" applyNumberFormat="1" applyFont="1" applyFill="1" applyBorder="1" applyAlignment="1">
      <alignment vertical="center"/>
    </xf>
    <xf numFmtId="43" fontId="11" fillId="0" borderId="13" xfId="4" applyFont="1" applyFill="1" applyBorder="1"/>
    <xf numFmtId="0" fontId="11" fillId="0" borderId="1" xfId="0" applyFont="1" applyFill="1" applyBorder="1" applyAlignment="1">
      <alignment vertical="center" wrapText="1"/>
    </xf>
    <xf numFmtId="43" fontId="11" fillId="0" borderId="1" xfId="2" applyNumberFormat="1" applyFont="1" applyFill="1" applyBorder="1" applyAlignment="1">
      <alignment horizontal="right" vertical="center" wrapText="1"/>
    </xf>
    <xf numFmtId="0" fontId="11" fillId="2" borderId="1" xfId="0" applyFont="1" applyFill="1" applyBorder="1" applyAlignment="1">
      <alignment horizontal="center" vertical="center"/>
    </xf>
    <xf numFmtId="0" fontId="13" fillId="0" borderId="9" xfId="0" applyFont="1" applyBorder="1" applyAlignment="1">
      <alignment vertical="center" wrapText="1"/>
    </xf>
    <xf numFmtId="169" fontId="11" fillId="13" borderId="1" xfId="0" applyNumberFormat="1" applyFont="1" applyFill="1" applyBorder="1" applyAlignment="1">
      <alignment horizontal="justify" vertical="center" wrapText="1"/>
    </xf>
    <xf numFmtId="169" fontId="11" fillId="13" borderId="1" xfId="0" applyNumberFormat="1" applyFont="1" applyFill="1" applyBorder="1" applyAlignment="1">
      <alignment horizontal="center" vertical="center" wrapText="1"/>
    </xf>
    <xf numFmtId="0" fontId="11" fillId="9" borderId="14" xfId="0" applyFont="1" applyFill="1" applyBorder="1" applyAlignment="1">
      <alignment horizontal="justify" vertical="center" wrapText="1"/>
    </xf>
    <xf numFmtId="0" fontId="11" fillId="0" borderId="14" xfId="0" applyFont="1" applyFill="1" applyBorder="1" applyAlignment="1">
      <alignment horizontal="center" vertical="center" wrapText="1"/>
    </xf>
    <xf numFmtId="0" fontId="9" fillId="0" borderId="1" xfId="0" applyFont="1" applyFill="1" applyBorder="1" applyAlignment="1">
      <alignment horizontal="right" vertical="center"/>
    </xf>
    <xf numFmtId="43" fontId="11" fillId="0" borderId="1" xfId="0" applyNumberFormat="1" applyFont="1" applyFill="1" applyBorder="1" applyAlignment="1">
      <alignment horizontal="right" vertical="center" wrapText="1"/>
    </xf>
    <xf numFmtId="43" fontId="11" fillId="0" borderId="13" xfId="2"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11" fillId="10" borderId="14" xfId="0" applyFont="1" applyFill="1" applyBorder="1" applyAlignment="1">
      <alignment horizontal="center" vertical="center" wrapText="1"/>
    </xf>
    <xf numFmtId="3" fontId="11" fillId="0" borderId="1" xfId="0" applyNumberFormat="1" applyFont="1" applyBorder="1" applyAlignment="1">
      <alignment horizontal="center" vertical="center" wrapText="1"/>
    </xf>
    <xf numFmtId="43" fontId="11" fillId="0" borderId="4" xfId="0" applyNumberFormat="1" applyFont="1" applyBorder="1" applyAlignment="1">
      <alignment vertical="center"/>
    </xf>
    <xf numFmtId="43" fontId="11" fillId="0" borderId="13" xfId="4" applyFont="1" applyBorder="1" applyAlignment="1">
      <alignment vertical="center"/>
    </xf>
    <xf numFmtId="3" fontId="11" fillId="0" borderId="11" xfId="0" applyNumberFormat="1" applyFont="1" applyFill="1" applyBorder="1" applyAlignment="1">
      <alignment horizontal="center" vertical="center" wrapText="1"/>
    </xf>
    <xf numFmtId="43" fontId="11" fillId="0" borderId="11" xfId="2" applyNumberFormat="1" applyFont="1" applyFill="1" applyBorder="1" applyAlignment="1">
      <alignmen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justify" vertical="center" wrapText="1"/>
    </xf>
    <xf numFmtId="3" fontId="11" fillId="0" borderId="1" xfId="0" applyNumberFormat="1" applyFont="1" applyFill="1" applyBorder="1" applyAlignment="1">
      <alignment horizontal="center" vertical="center" wrapText="1"/>
    </xf>
    <xf numFmtId="0" fontId="11" fillId="0" borderId="6" xfId="0" applyFont="1" applyBorder="1" applyAlignment="1">
      <alignment horizontal="center" vertical="center"/>
    </xf>
    <xf numFmtId="0" fontId="9" fillId="0" borderId="6" xfId="0" applyFont="1" applyBorder="1" applyAlignment="1">
      <alignment horizontal="right" vertical="center" wrapText="1"/>
    </xf>
    <xf numFmtId="0" fontId="13" fillId="13" borderId="5" xfId="0" applyFont="1" applyFill="1" applyBorder="1" applyAlignment="1">
      <alignment vertical="center"/>
    </xf>
    <xf numFmtId="0" fontId="13" fillId="13" borderId="6" xfId="0" applyFont="1" applyFill="1" applyBorder="1" applyAlignment="1">
      <alignment vertical="center"/>
    </xf>
    <xf numFmtId="43" fontId="11" fillId="0" borderId="1" xfId="2" applyNumberFormat="1" applyFont="1" applyFill="1" applyBorder="1" applyAlignment="1">
      <alignment horizontal="center" vertical="center"/>
    </xf>
    <xf numFmtId="0" fontId="11" fillId="2" borderId="4" xfId="0" applyFont="1" applyFill="1" applyBorder="1" applyAlignment="1">
      <alignment horizontal="center" vertical="center"/>
    </xf>
    <xf numFmtId="0" fontId="11" fillId="0" borderId="4" xfId="0" applyFont="1" applyFill="1" applyBorder="1" applyAlignment="1">
      <alignment vertical="center" wrapText="1"/>
    </xf>
    <xf numFmtId="0" fontId="13" fillId="13" borderId="13" xfId="0" applyFont="1" applyFill="1" applyBorder="1" applyAlignment="1">
      <alignment vertical="center"/>
    </xf>
    <xf numFmtId="0" fontId="13" fillId="13" borderId="18" xfId="0" applyFont="1" applyFill="1" applyBorder="1" applyAlignment="1">
      <alignment horizontal="center" vertical="center"/>
    </xf>
    <xf numFmtId="43" fontId="13" fillId="13" borderId="18" xfId="0" applyNumberFormat="1" applyFont="1" applyFill="1" applyBorder="1" applyAlignment="1">
      <alignment vertical="center" wrapText="1"/>
    </xf>
    <xf numFmtId="43" fontId="11" fillId="13" borderId="18" xfId="0" applyNumberFormat="1" applyFont="1" applyFill="1" applyBorder="1" applyAlignment="1">
      <alignment vertical="center" wrapText="1"/>
    </xf>
    <xf numFmtId="43" fontId="11" fillId="13" borderId="14" xfId="0" applyNumberFormat="1" applyFont="1" applyFill="1" applyBorder="1" applyAlignment="1">
      <alignment vertical="center" wrapText="1"/>
    </xf>
    <xf numFmtId="0" fontId="11" fillId="0" borderId="18" xfId="0" applyFont="1" applyBorder="1" applyAlignment="1">
      <alignment horizontal="left" vertical="center" wrapText="1"/>
    </xf>
    <xf numFmtId="0" fontId="13" fillId="5" borderId="18" xfId="0" applyFont="1" applyFill="1" applyBorder="1" applyAlignment="1">
      <alignment horizontal="left" vertical="center" wrapText="1"/>
    </xf>
    <xf numFmtId="43" fontId="13" fillId="5" borderId="18" xfId="0" applyNumberFormat="1" applyFont="1" applyFill="1" applyBorder="1" applyAlignment="1">
      <alignment vertical="center"/>
    </xf>
    <xf numFmtId="43" fontId="13" fillId="5" borderId="18" xfId="2" applyNumberFormat="1" applyFont="1" applyFill="1" applyBorder="1" applyAlignment="1">
      <alignment horizontal="center" vertical="center"/>
    </xf>
    <xf numFmtId="43" fontId="13" fillId="5" borderId="14" xfId="0" applyNumberFormat="1" applyFont="1" applyFill="1" applyBorder="1" applyAlignment="1">
      <alignment vertical="center"/>
    </xf>
    <xf numFmtId="0" fontId="11" fillId="13" borderId="1" xfId="4" applyNumberFormat="1" applyFont="1" applyFill="1" applyBorder="1" applyAlignment="1">
      <alignment horizontal="center" vertical="center"/>
    </xf>
    <xf numFmtId="0" fontId="11" fillId="0" borderId="6" xfId="4" applyNumberFormat="1" applyFont="1" applyBorder="1" applyAlignment="1">
      <alignment horizontal="center" vertical="center"/>
    </xf>
    <xf numFmtId="43" fontId="11" fillId="0" borderId="9" xfId="4" applyFont="1" applyBorder="1" applyAlignment="1">
      <alignment horizontal="justify" vertical="center"/>
    </xf>
    <xf numFmtId="43" fontId="11" fillId="0" borderId="9" xfId="2" applyNumberFormat="1" applyFont="1" applyBorder="1" applyAlignment="1">
      <alignment horizontal="center" vertical="center"/>
    </xf>
    <xf numFmtId="43" fontId="13" fillId="13" borderId="6" xfId="0" applyNumberFormat="1" applyFont="1" applyFill="1" applyBorder="1" applyAlignment="1">
      <alignment vertical="center"/>
    </xf>
    <xf numFmtId="43" fontId="13" fillId="13" borderId="6" xfId="2" applyNumberFormat="1" applyFont="1" applyFill="1" applyBorder="1" applyAlignment="1">
      <alignment horizontal="center" vertical="center"/>
    </xf>
    <xf numFmtId="0" fontId="11" fillId="0" borderId="7" xfId="0" applyFont="1" applyFill="1" applyBorder="1" applyAlignment="1">
      <alignment horizontal="center" vertical="center" wrapText="1"/>
    </xf>
    <xf numFmtId="0" fontId="13" fillId="10" borderId="6" xfId="0" applyFont="1" applyFill="1" applyBorder="1" applyAlignment="1">
      <alignment horizontal="left" vertical="center"/>
    </xf>
    <xf numFmtId="0" fontId="13" fillId="10" borderId="6" xfId="0" applyFont="1" applyFill="1" applyBorder="1" applyAlignment="1">
      <alignment vertical="center"/>
    </xf>
    <xf numFmtId="0" fontId="13" fillId="10" borderId="6" xfId="0" applyFont="1" applyFill="1" applyBorder="1" applyAlignment="1">
      <alignment horizontal="center" vertical="center"/>
    </xf>
    <xf numFmtId="0" fontId="7" fillId="10" borderId="6" xfId="0" applyFont="1" applyFill="1" applyBorder="1" applyAlignment="1">
      <alignment horizontal="right" vertical="center"/>
    </xf>
    <xf numFmtId="43" fontId="13" fillId="10" borderId="6" xfId="0" applyNumberFormat="1" applyFont="1" applyFill="1" applyBorder="1" applyAlignment="1">
      <alignment vertical="center"/>
    </xf>
    <xf numFmtId="43" fontId="13" fillId="10" borderId="6" xfId="2" applyNumberFormat="1" applyFont="1" applyFill="1" applyBorder="1" applyAlignment="1">
      <alignment horizontal="center" vertical="center"/>
    </xf>
    <xf numFmtId="43" fontId="13" fillId="10" borderId="7" xfId="0" applyNumberFormat="1" applyFont="1" applyFill="1" applyBorder="1" applyAlignment="1">
      <alignment vertical="center"/>
    </xf>
    <xf numFmtId="0" fontId="13" fillId="0" borderId="6" xfId="0" applyFont="1" applyBorder="1" applyAlignment="1">
      <alignment horizontal="center" vertical="center" wrapText="1"/>
    </xf>
    <xf numFmtId="0" fontId="13" fillId="0" borderId="6" xfId="0" applyFont="1" applyBorder="1" applyAlignment="1">
      <alignment horizontal="left" vertical="center" wrapText="1"/>
    </xf>
    <xf numFmtId="0" fontId="11" fillId="2" borderId="5" xfId="0" applyFont="1" applyFill="1" applyBorder="1" applyAlignment="1">
      <alignment horizontal="center" vertical="center"/>
    </xf>
    <xf numFmtId="0" fontId="11" fillId="2" borderId="5" xfId="0" applyFont="1" applyFill="1" applyBorder="1" applyAlignment="1">
      <alignment horizontal="justify" vertical="center" wrapText="1"/>
    </xf>
    <xf numFmtId="43" fontId="12" fillId="0" borderId="0" xfId="0" applyNumberFormat="1" applyFont="1" applyFill="1" applyBorder="1"/>
    <xf numFmtId="43" fontId="11" fillId="0" borderId="0" xfId="2" applyNumberFormat="1" applyFont="1" applyBorder="1" applyAlignment="1">
      <alignment horizontal="center" vertical="center"/>
    </xf>
    <xf numFmtId="0" fontId="12" fillId="16" borderId="0" xfId="0" applyFont="1" applyFill="1" applyBorder="1" applyAlignment="1">
      <alignment horizontal="center" vertical="center" wrapText="1"/>
    </xf>
    <xf numFmtId="0" fontId="11" fillId="9" borderId="11" xfId="0" applyFont="1" applyFill="1" applyBorder="1" applyAlignment="1">
      <alignment horizontal="justify" vertical="center" wrapText="1"/>
    </xf>
    <xf numFmtId="0" fontId="11" fillId="9" borderId="11" xfId="0" applyFont="1" applyFill="1" applyBorder="1" applyAlignment="1">
      <alignment horizontal="center" vertical="center" wrapText="1"/>
    </xf>
    <xf numFmtId="0" fontId="13" fillId="9" borderId="13" xfId="0" applyFont="1" applyFill="1" applyBorder="1" applyAlignment="1">
      <alignment horizontal="justify" vertical="center" wrapText="1"/>
    </xf>
    <xf numFmtId="169" fontId="11" fillId="0" borderId="1" xfId="4" applyNumberFormat="1" applyFont="1" applyFill="1" applyBorder="1" applyAlignment="1">
      <alignment horizontal="justify" vertical="center"/>
    </xf>
    <xf numFmtId="0" fontId="11" fillId="0" borderId="1" xfId="0" applyFont="1" applyFill="1" applyBorder="1" applyAlignment="1">
      <alignment horizontal="justify" vertical="center"/>
    </xf>
    <xf numFmtId="0" fontId="11" fillId="0" borderId="9" xfId="0" applyFont="1" applyBorder="1" applyAlignment="1">
      <alignment horizontal="justify" vertical="center" wrapText="1"/>
    </xf>
    <xf numFmtId="0" fontId="11" fillId="0" borderId="9" xfId="0" applyFont="1" applyBorder="1" applyAlignment="1">
      <alignment horizontal="center" vertical="center"/>
    </xf>
    <xf numFmtId="0" fontId="9" fillId="0" borderId="9" xfId="0" applyFont="1" applyBorder="1" applyAlignment="1">
      <alignment horizontal="right" vertical="center" wrapText="1"/>
    </xf>
    <xf numFmtId="43" fontId="11" fillId="2" borderId="9" xfId="4" applyFont="1" applyFill="1" applyBorder="1" applyAlignment="1">
      <alignment horizontal="justify" vertical="center"/>
    </xf>
    <xf numFmtId="0" fontId="12" fillId="2" borderId="10" xfId="0" applyFont="1" applyFill="1" applyBorder="1"/>
    <xf numFmtId="0" fontId="13" fillId="10" borderId="1" xfId="0" applyFont="1" applyFill="1" applyBorder="1" applyAlignment="1">
      <alignment horizontal="center" vertical="center" wrapText="1"/>
    </xf>
    <xf numFmtId="0" fontId="11" fillId="13" borderId="1" xfId="0" applyFont="1" applyFill="1" applyBorder="1" applyAlignment="1">
      <alignment horizontal="justify" vertical="center"/>
    </xf>
    <xf numFmtId="0" fontId="11" fillId="0" borderId="2" xfId="0" applyFont="1" applyBorder="1" applyAlignment="1">
      <alignment vertical="center" wrapText="1"/>
    </xf>
    <xf numFmtId="0" fontId="11" fillId="10" borderId="13" xfId="0" applyFont="1" applyFill="1" applyBorder="1" applyAlignment="1">
      <alignment horizontal="justify" vertical="center" wrapText="1"/>
    </xf>
    <xf numFmtId="0" fontId="11" fillId="9" borderId="4" xfId="0" applyFont="1" applyFill="1" applyBorder="1" applyAlignment="1">
      <alignment horizontal="justify" vertical="center" wrapText="1"/>
    </xf>
    <xf numFmtId="0" fontId="11" fillId="9" borderId="4" xfId="0" applyFont="1" applyFill="1" applyBorder="1" applyAlignment="1">
      <alignment horizontal="center" vertical="center" wrapText="1"/>
    </xf>
    <xf numFmtId="0" fontId="11" fillId="0" borderId="5" xfId="0" applyFont="1" applyBorder="1" applyAlignment="1">
      <alignment horizontal="justify" vertical="center" wrapText="1"/>
    </xf>
    <xf numFmtId="43" fontId="11" fillId="0" borderId="6" xfId="4" applyFont="1" applyBorder="1" applyAlignment="1">
      <alignment horizontal="justify" vertical="center"/>
    </xf>
    <xf numFmtId="43" fontId="11" fillId="2" borderId="6" xfId="4" applyFont="1" applyFill="1" applyBorder="1" applyAlignment="1">
      <alignment horizontal="justify" vertical="center"/>
    </xf>
    <xf numFmtId="43" fontId="7" fillId="0" borderId="6" xfId="2" applyNumberFormat="1" applyFont="1" applyBorder="1" applyAlignment="1">
      <alignment horizontal="center" vertical="center"/>
    </xf>
    <xf numFmtId="0" fontId="13" fillId="10" borderId="1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2" xfId="0" applyFont="1" applyBorder="1" applyAlignment="1">
      <alignment horizontal="justify" vertical="center" wrapText="1"/>
    </xf>
    <xf numFmtId="43" fontId="11" fillId="0" borderId="4" xfId="2" applyNumberFormat="1" applyFont="1" applyBorder="1" applyAlignment="1">
      <alignment vertical="center"/>
    </xf>
    <xf numFmtId="43" fontId="11" fillId="0" borderId="8" xfId="2" applyNumberFormat="1" applyFont="1" applyBorder="1" applyAlignment="1">
      <alignment horizontal="right" vertical="center" wrapText="1"/>
    </xf>
    <xf numFmtId="43" fontId="13" fillId="0" borderId="8" xfId="0" applyNumberFormat="1" applyFont="1" applyBorder="1" applyAlignment="1">
      <alignment horizontal="left" vertical="center"/>
    </xf>
    <xf numFmtId="43" fontId="11" fillId="0" borderId="4" xfId="2" applyNumberFormat="1" applyFont="1" applyBorder="1" applyAlignment="1">
      <alignment horizontal="right" vertical="center"/>
    </xf>
    <xf numFmtId="43" fontId="11" fillId="0" borderId="8" xfId="4" applyFont="1" applyBorder="1" applyAlignment="1">
      <alignment horizontal="justify" vertical="center"/>
    </xf>
    <xf numFmtId="43" fontId="11" fillId="0" borderId="1" xfId="2" applyNumberFormat="1" applyFont="1" applyBorder="1" applyAlignment="1">
      <alignment vertical="center"/>
    </xf>
    <xf numFmtId="0" fontId="13" fillId="0" borderId="1" xfId="0" applyFont="1" applyBorder="1" applyAlignment="1">
      <alignment horizontal="justify" vertical="center"/>
    </xf>
    <xf numFmtId="0" fontId="13" fillId="0" borderId="9" xfId="0" applyFont="1" applyBorder="1" applyAlignment="1">
      <alignment horizontal="justify" vertical="center"/>
    </xf>
    <xf numFmtId="0" fontId="11" fillId="0" borderId="10" xfId="0" applyFont="1" applyBorder="1" applyAlignment="1">
      <alignment horizontal="center" vertical="center" wrapText="1"/>
    </xf>
    <xf numFmtId="0" fontId="13" fillId="0" borderId="4" xfId="0" applyFont="1" applyBorder="1" applyAlignment="1">
      <alignment horizontal="justify" vertical="center"/>
    </xf>
    <xf numFmtId="0" fontId="11" fillId="0" borderId="1" xfId="0" applyFont="1" applyBorder="1" applyAlignment="1">
      <alignment horizontal="center" vertical="center"/>
    </xf>
    <xf numFmtId="0" fontId="13" fillId="10" borderId="1" xfId="0" applyFont="1" applyFill="1" applyBorder="1" applyAlignment="1">
      <alignment horizontal="justify" vertical="center"/>
    </xf>
    <xf numFmtId="0" fontId="13" fillId="0" borderId="8" xfId="0" applyFont="1" applyBorder="1" applyAlignment="1">
      <alignment horizontal="center" vertical="center" wrapText="1"/>
    </xf>
    <xf numFmtId="0" fontId="13" fillId="0" borderId="9" xfId="0" applyFont="1" applyBorder="1" applyAlignment="1">
      <alignment horizontal="left" vertical="center" wrapText="1"/>
    </xf>
    <xf numFmtId="0" fontId="13" fillId="5" borderId="13" xfId="0" applyFont="1" applyFill="1" applyBorder="1" applyAlignment="1">
      <alignment horizontal="left" vertical="center" wrapText="1"/>
    </xf>
    <xf numFmtId="0" fontId="11" fillId="2" borderId="11" xfId="0" applyFont="1" applyFill="1" applyBorder="1" applyAlignment="1">
      <alignment horizontal="center" vertical="center"/>
    </xf>
    <xf numFmtId="0" fontId="11" fillId="2" borderId="11" xfId="0" applyFont="1" applyFill="1" applyBorder="1" applyAlignment="1">
      <alignment horizontal="justify" vertical="center" wrapText="1"/>
    </xf>
    <xf numFmtId="0" fontId="13" fillId="9" borderId="1" xfId="0" applyFont="1" applyFill="1" applyBorder="1" applyAlignment="1">
      <alignment horizontal="justify" vertical="center"/>
    </xf>
    <xf numFmtId="0" fontId="13" fillId="14" borderId="1" xfId="0" applyFont="1" applyFill="1" applyBorder="1" applyAlignment="1">
      <alignment horizontal="justify" vertical="center"/>
    </xf>
    <xf numFmtId="0" fontId="13" fillId="0" borderId="18" xfId="0" applyFont="1" applyBorder="1" applyAlignment="1">
      <alignment horizontal="justify" vertical="center"/>
    </xf>
    <xf numFmtId="0" fontId="13" fillId="13" borderId="18" xfId="0" applyFont="1" applyFill="1" applyBorder="1" applyAlignment="1">
      <alignment horizontal="justify" vertical="center" wrapText="1"/>
    </xf>
    <xf numFmtId="0" fontId="9" fillId="0" borderId="11" xfId="0" applyFont="1" applyBorder="1" applyAlignment="1">
      <alignment horizontal="right" vertical="center" wrapText="1"/>
    </xf>
    <xf numFmtId="43" fontId="11" fillId="0" borderId="11" xfId="4" applyFont="1" applyBorder="1" applyAlignment="1">
      <alignment horizontal="justify" vertical="center"/>
    </xf>
    <xf numFmtId="43" fontId="11" fillId="0" borderId="5" xfId="2" applyNumberFormat="1" applyFont="1" applyBorder="1" applyAlignment="1">
      <alignment horizontal="center" vertical="center"/>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18" xfId="0" applyFont="1" applyBorder="1" applyAlignment="1">
      <alignment horizontal="left" vertical="center" wrapText="1"/>
    </xf>
    <xf numFmtId="0" fontId="9" fillId="0" borderId="4" xfId="0" applyFont="1" applyFill="1" applyBorder="1" applyAlignment="1">
      <alignment horizontal="right" vertical="center" wrapText="1"/>
    </xf>
    <xf numFmtId="0" fontId="16" fillId="0" borderId="0" xfId="0" applyFont="1" applyFill="1" applyBorder="1" applyAlignment="1">
      <alignment vertical="center" wrapText="1"/>
    </xf>
    <xf numFmtId="0" fontId="5" fillId="0" borderId="1" xfId="0" applyFont="1" applyBorder="1" applyAlignment="1">
      <alignment horizontal="justify" vertical="center" wrapText="1"/>
    </xf>
    <xf numFmtId="0" fontId="12" fillId="0" borderId="0" xfId="0" applyFont="1" applyFill="1" applyBorder="1" applyAlignment="1">
      <alignment vertical="center"/>
    </xf>
    <xf numFmtId="43" fontId="11" fillId="0" borderId="18" xfId="4" applyFont="1" applyBorder="1" applyAlignment="1">
      <alignment vertical="center"/>
    </xf>
    <xf numFmtId="0" fontId="16" fillId="12" borderId="18" xfId="0" applyFont="1" applyFill="1" applyBorder="1" applyAlignment="1">
      <alignment horizontal="left" vertical="center" wrapText="1"/>
    </xf>
    <xf numFmtId="0" fontId="16" fillId="12" borderId="18" xfId="0" applyFont="1" applyFill="1" applyBorder="1" applyAlignment="1">
      <alignment horizontal="center" vertical="center" wrapText="1"/>
    </xf>
    <xf numFmtId="0" fontId="7" fillId="12" borderId="18" xfId="0" applyFont="1" applyFill="1" applyBorder="1" applyAlignment="1">
      <alignment horizontal="right" vertical="center" wrapText="1"/>
    </xf>
    <xf numFmtId="43" fontId="13" fillId="12" borderId="18" xfId="0" applyNumberFormat="1" applyFont="1" applyFill="1" applyBorder="1" applyAlignment="1">
      <alignment horizontal="left" vertical="center" wrapText="1"/>
    </xf>
    <xf numFmtId="43" fontId="13" fillId="12" borderId="18" xfId="2" applyNumberFormat="1" applyFont="1" applyFill="1" applyBorder="1" applyAlignment="1">
      <alignment horizontal="center" vertical="center" wrapText="1"/>
    </xf>
    <xf numFmtId="43" fontId="13" fillId="12" borderId="14" xfId="0" applyNumberFormat="1" applyFont="1" applyFill="1" applyBorder="1" applyAlignment="1">
      <alignment horizontal="left" vertical="center" wrapText="1"/>
    </xf>
    <xf numFmtId="4" fontId="12" fillId="0" borderId="13" xfId="0" applyNumberFormat="1" applyFont="1" applyBorder="1" applyAlignment="1">
      <alignment vertical="center"/>
    </xf>
    <xf numFmtId="0" fontId="11" fillId="0" borderId="3" xfId="0" applyFont="1" applyBorder="1" applyAlignment="1">
      <alignment vertical="center" wrapText="1"/>
    </xf>
    <xf numFmtId="0" fontId="11" fillId="0" borderId="10" xfId="0" applyFont="1" applyBorder="1" applyAlignment="1">
      <alignment vertical="center" wrapText="1"/>
    </xf>
    <xf numFmtId="43" fontId="11" fillId="0" borderId="1" xfId="0" applyNumberFormat="1" applyFont="1" applyBorder="1" applyAlignment="1">
      <alignment horizontal="center" vertical="center"/>
    </xf>
    <xf numFmtId="43" fontId="11" fillId="13" borderId="1" xfId="0" applyNumberFormat="1" applyFont="1" applyFill="1" applyBorder="1" applyAlignment="1">
      <alignment horizontal="justify" vertical="center" wrapText="1"/>
    </xf>
    <xf numFmtId="4" fontId="11" fillId="13" borderId="1" xfId="0" applyNumberFormat="1" applyFont="1" applyFill="1" applyBorder="1" applyAlignment="1">
      <alignment horizontal="justify" vertical="center" wrapText="1"/>
    </xf>
    <xf numFmtId="43" fontId="11" fillId="0" borderId="18" xfId="0" applyNumberFormat="1" applyFont="1" applyBorder="1" applyAlignment="1">
      <alignment horizontal="justify" vertical="center" wrapText="1"/>
    </xf>
    <xf numFmtId="43" fontId="11" fillId="2" borderId="18" xfId="0" applyNumberFormat="1" applyFont="1" applyFill="1" applyBorder="1" applyAlignment="1">
      <alignment horizontal="justify" vertical="center" wrapText="1"/>
    </xf>
    <xf numFmtId="4" fontId="11" fillId="0" borderId="18" xfId="2" applyNumberFormat="1" applyFont="1" applyBorder="1" applyAlignment="1">
      <alignment horizontal="center" vertical="center" wrapText="1"/>
    </xf>
    <xf numFmtId="4" fontId="13" fillId="13" borderId="18" xfId="2" applyNumberFormat="1" applyFont="1" applyFill="1" applyBorder="1" applyAlignment="1">
      <alignment horizontal="center" vertical="center"/>
    </xf>
    <xf numFmtId="4" fontId="12" fillId="0" borderId="1" xfId="0" applyNumberFormat="1" applyFont="1" applyBorder="1" applyAlignment="1">
      <alignment vertical="center"/>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justify" vertical="center" wrapText="1"/>
      <protection locked="0"/>
    </xf>
    <xf numFmtId="4" fontId="12" fillId="0" borderId="13" xfId="0" applyNumberFormat="1" applyFont="1" applyFill="1" applyBorder="1" applyAlignment="1">
      <alignment vertical="center"/>
    </xf>
    <xf numFmtId="3" fontId="11" fillId="13" borderId="1" xfId="0" applyNumberFormat="1" applyFont="1" applyFill="1" applyBorder="1" applyAlignment="1">
      <alignment horizontal="justify" vertical="center" wrapText="1"/>
    </xf>
    <xf numFmtId="4" fontId="11" fillId="13" borderId="1" xfId="0" applyNumberFormat="1" applyFont="1" applyFill="1" applyBorder="1" applyAlignment="1">
      <alignment horizontal="right" vertical="center" wrapText="1"/>
    </xf>
    <xf numFmtId="43" fontId="11" fillId="10" borderId="1" xfId="0" applyNumberFormat="1" applyFont="1" applyFill="1" applyBorder="1" applyAlignment="1">
      <alignment horizontal="justify"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vertical="center" wrapText="1"/>
    </xf>
    <xf numFmtId="43" fontId="11" fillId="9" borderId="1" xfId="0" applyNumberFormat="1" applyFont="1" applyFill="1" applyBorder="1" applyAlignment="1">
      <alignment vertical="center" wrapText="1"/>
    </xf>
    <xf numFmtId="43" fontId="11" fillId="0" borderId="18" xfId="2" applyNumberFormat="1" applyFont="1" applyBorder="1" applyAlignment="1">
      <alignment horizontal="center" vertical="center" wrapText="1"/>
    </xf>
    <xf numFmtId="43" fontId="11" fillId="13" borderId="1" xfId="2" applyFont="1" applyFill="1" applyBorder="1" applyAlignment="1">
      <alignment horizontal="justify" vertical="center" wrapText="1"/>
    </xf>
    <xf numFmtId="0" fontId="12" fillId="0" borderId="1" xfId="0" applyFont="1" applyBorder="1"/>
    <xf numFmtId="0" fontId="12" fillId="2" borderId="1" xfId="0" applyFont="1" applyFill="1" applyBorder="1"/>
    <xf numFmtId="0" fontId="12" fillId="0" borderId="11" xfId="0" applyFont="1" applyBorder="1"/>
    <xf numFmtId="43" fontId="11" fillId="0" borderId="5" xfId="4" applyFont="1" applyBorder="1" applyAlignment="1">
      <alignment horizontal="justify" vertical="center"/>
    </xf>
    <xf numFmtId="43" fontId="11" fillId="0" borderId="5" xfId="2" applyNumberFormat="1" applyFont="1" applyBorder="1" applyAlignment="1">
      <alignment horizontal="right" vertical="center" wrapText="1"/>
    </xf>
    <xf numFmtId="43" fontId="12" fillId="0" borderId="11" xfId="0" applyNumberFormat="1" applyFont="1" applyBorder="1" applyAlignment="1">
      <alignment vertical="center"/>
    </xf>
    <xf numFmtId="0" fontId="13" fillId="13" borderId="18" xfId="0" applyFont="1" applyFill="1" applyBorder="1" applyAlignment="1">
      <alignment horizontal="center" vertical="center" wrapText="1"/>
    </xf>
    <xf numFmtId="0" fontId="11" fillId="13" borderId="18" xfId="0" applyFont="1" applyFill="1" applyBorder="1" applyAlignment="1">
      <alignment horizontal="justify" vertical="center" wrapText="1"/>
    </xf>
    <xf numFmtId="0" fontId="11" fillId="13" borderId="18" xfId="0" applyFont="1" applyFill="1" applyBorder="1" applyAlignment="1">
      <alignment horizontal="center" vertical="center" wrapText="1"/>
    </xf>
    <xf numFmtId="0" fontId="9" fillId="13" borderId="18" xfId="0" applyFont="1" applyFill="1" applyBorder="1" applyAlignment="1">
      <alignment horizontal="right" vertical="center" wrapText="1"/>
    </xf>
    <xf numFmtId="43" fontId="11" fillId="13" borderId="18" xfId="4" applyFont="1" applyFill="1" applyBorder="1" applyAlignment="1">
      <alignment horizontal="justify" vertical="center"/>
    </xf>
    <xf numFmtId="0" fontId="13" fillId="0" borderId="18" xfId="0" applyFont="1" applyBorder="1" applyAlignment="1">
      <alignment horizontal="justify" vertical="center" wrapText="1"/>
    </xf>
    <xf numFmtId="0" fontId="11" fillId="0" borderId="12" xfId="0" applyFont="1" applyFill="1" applyBorder="1" applyAlignment="1">
      <alignment vertical="center"/>
    </xf>
    <xf numFmtId="0" fontId="11" fillId="0" borderId="1" xfId="0" applyFont="1" applyFill="1" applyBorder="1" applyAlignment="1">
      <alignment horizontal="center" vertical="center"/>
    </xf>
    <xf numFmtId="0" fontId="9" fillId="0" borderId="11" xfId="0" applyFont="1" applyFill="1" applyBorder="1" applyAlignment="1">
      <alignment horizontal="right" vertical="center" wrapText="1"/>
    </xf>
    <xf numFmtId="0" fontId="9" fillId="13" borderId="1" xfId="0" applyFont="1" applyFill="1" applyBorder="1" applyAlignment="1">
      <alignment horizontal="right" vertical="center"/>
    </xf>
    <xf numFmtId="43" fontId="11" fillId="13" borderId="1" xfId="0" applyNumberFormat="1" applyFont="1" applyFill="1" applyBorder="1" applyAlignment="1">
      <alignment horizontal="justify" vertical="center"/>
    </xf>
    <xf numFmtId="0" fontId="9" fillId="0" borderId="18" xfId="0" applyFont="1" applyBorder="1" applyAlignment="1">
      <alignment horizontal="right" vertical="center"/>
    </xf>
    <xf numFmtId="43" fontId="11" fillId="0" borderId="18" xfId="0" applyNumberFormat="1" applyFont="1" applyBorder="1" applyAlignment="1">
      <alignment horizontal="justify" vertical="center"/>
    </xf>
    <xf numFmtId="43" fontId="11" fillId="2" borderId="18" xfId="0" applyNumberFormat="1" applyFont="1" applyFill="1" applyBorder="1" applyAlignment="1">
      <alignment horizontal="justify" vertical="center"/>
    </xf>
    <xf numFmtId="43" fontId="11" fillId="0" borderId="14" xfId="0" applyNumberFormat="1" applyFont="1" applyBorder="1" applyAlignment="1">
      <alignment horizontal="justify" vertical="center"/>
    </xf>
    <xf numFmtId="0" fontId="13" fillId="13" borderId="1" xfId="0" applyFont="1" applyFill="1" applyBorder="1" applyAlignment="1">
      <alignment horizontal="justify" vertical="center"/>
    </xf>
    <xf numFmtId="172" fontId="12" fillId="0" borderId="13" xfId="0" applyNumberFormat="1" applyFont="1" applyBorder="1" applyAlignment="1">
      <alignment vertical="center"/>
    </xf>
    <xf numFmtId="43" fontId="12" fillId="0" borderId="13" xfId="0" applyNumberFormat="1" applyFont="1" applyBorder="1" applyAlignment="1">
      <alignment vertical="center"/>
    </xf>
    <xf numFmtId="0" fontId="11" fillId="10" borderId="7" xfId="0" applyFont="1" applyFill="1" applyBorder="1" applyAlignment="1">
      <alignment horizontal="justify" vertical="center" wrapText="1"/>
    </xf>
    <xf numFmtId="0" fontId="9" fillId="10" borderId="11" xfId="0" applyFont="1" applyFill="1" applyBorder="1" applyAlignment="1">
      <alignment horizontal="right" vertical="center" wrapText="1"/>
    </xf>
    <xf numFmtId="43" fontId="11" fillId="10" borderId="11" xfId="4" applyFont="1" applyFill="1" applyBorder="1" applyAlignment="1">
      <alignment horizontal="justify" vertical="center"/>
    </xf>
    <xf numFmtId="0" fontId="11" fillId="0" borderId="8" xfId="0" applyFont="1" applyBorder="1" applyAlignment="1">
      <alignment horizontal="justify" vertical="center" wrapText="1"/>
    </xf>
    <xf numFmtId="0" fontId="13" fillId="0" borderId="13" xfId="0" applyFont="1" applyBorder="1" applyAlignment="1">
      <alignment vertical="center" wrapText="1"/>
    </xf>
    <xf numFmtId="0" fontId="13" fillId="0" borderId="2" xfId="0" applyFont="1" applyFill="1" applyBorder="1" applyAlignment="1">
      <alignment vertical="center" wrapText="1"/>
    </xf>
    <xf numFmtId="0" fontId="11" fillId="2" borderId="9" xfId="0" applyFont="1" applyFill="1" applyBorder="1" applyAlignment="1">
      <alignment horizontal="justify" vertical="center" wrapText="1"/>
    </xf>
    <xf numFmtId="0" fontId="11" fillId="0" borderId="13" xfId="0" applyFont="1" applyFill="1" applyBorder="1" applyAlignment="1">
      <alignment horizontal="center" vertical="center" wrapText="1"/>
    </xf>
    <xf numFmtId="43" fontId="11" fillId="0" borderId="11" xfId="4" applyFont="1" applyFill="1" applyBorder="1" applyAlignment="1">
      <alignment horizontal="justify" vertical="center"/>
    </xf>
    <xf numFmtId="43" fontId="11" fillId="0" borderId="5" xfId="4" applyFont="1" applyFill="1" applyBorder="1" applyAlignment="1">
      <alignment horizontal="justify" vertical="center"/>
    </xf>
    <xf numFmtId="43" fontId="11" fillId="0" borderId="5" xfId="2" applyNumberFormat="1" applyFont="1" applyFill="1" applyBorder="1" applyAlignment="1">
      <alignment horizontal="right" vertical="center" wrapText="1"/>
    </xf>
    <xf numFmtId="0" fontId="9" fillId="9" borderId="11" xfId="0" applyFont="1" applyFill="1" applyBorder="1" applyAlignment="1">
      <alignment horizontal="right" vertical="center" wrapText="1"/>
    </xf>
    <xf numFmtId="43" fontId="11" fillId="9" borderId="11" xfId="4" applyFont="1" applyFill="1" applyBorder="1" applyAlignment="1">
      <alignment horizontal="justify" vertical="center"/>
    </xf>
    <xf numFmtId="43" fontId="13" fillId="2" borderId="18" xfId="0" applyNumberFormat="1" applyFont="1" applyFill="1" applyBorder="1" applyAlignment="1">
      <alignment vertical="center"/>
    </xf>
    <xf numFmtId="43" fontId="3" fillId="0" borderId="1" xfId="4" applyFont="1" applyFill="1" applyBorder="1" applyAlignment="1">
      <alignment horizontal="justify" vertical="center"/>
    </xf>
    <xf numFmtId="43" fontId="11" fillId="0" borderId="2" xfId="4" applyFont="1" applyFill="1" applyBorder="1" applyAlignment="1">
      <alignment horizontal="justify" vertical="center"/>
    </xf>
    <xf numFmtId="43" fontId="12" fillId="0" borderId="2" xfId="2" applyFont="1" applyFill="1" applyBorder="1" applyAlignment="1">
      <alignment horizontal="center" vertical="center"/>
    </xf>
    <xf numFmtId="43" fontId="13" fillId="0" borderId="13" xfId="4" applyFont="1" applyFill="1" applyBorder="1" applyAlignment="1">
      <alignment horizontal="justify" vertical="center"/>
    </xf>
    <xf numFmtId="43" fontId="5" fillId="0" borderId="13" xfId="4" applyFont="1" applyFill="1" applyBorder="1" applyAlignment="1">
      <alignment horizontal="justify" vertical="center"/>
    </xf>
    <xf numFmtId="43" fontId="12" fillId="0" borderId="13" xfId="2" applyFont="1" applyFill="1" applyBorder="1" applyAlignment="1">
      <alignment vertical="center"/>
    </xf>
    <xf numFmtId="3" fontId="11" fillId="13" borderId="1" xfId="0" applyNumberFormat="1" applyFont="1" applyFill="1" applyBorder="1" applyAlignment="1">
      <alignment horizontal="center" vertical="center" wrapText="1"/>
    </xf>
    <xf numFmtId="43" fontId="11" fillId="13" borderId="1" xfId="2" applyNumberFormat="1" applyFont="1" applyFill="1" applyBorder="1" applyAlignment="1">
      <alignment horizontal="center" vertical="center" wrapText="1"/>
    </xf>
    <xf numFmtId="43" fontId="13" fillId="13" borderId="1" xfId="4" applyFont="1" applyFill="1" applyBorder="1" applyAlignment="1">
      <alignment horizontal="justify" vertical="center"/>
    </xf>
    <xf numFmtId="3" fontId="11" fillId="0" borderId="6" xfId="0" applyNumberFormat="1" applyFont="1" applyBorder="1" applyAlignment="1">
      <alignment horizontal="center" vertical="center" wrapText="1"/>
    </xf>
    <xf numFmtId="43" fontId="18" fillId="2" borderId="0" xfId="0" applyNumberFormat="1" applyFont="1" applyFill="1" applyBorder="1"/>
    <xf numFmtId="43" fontId="13" fillId="13" borderId="18" xfId="2" applyNumberFormat="1" applyFont="1" applyFill="1" applyBorder="1" applyAlignment="1">
      <alignment vertical="center"/>
    </xf>
    <xf numFmtId="43" fontId="17" fillId="0" borderId="1" xfId="4" applyFont="1" applyFill="1" applyBorder="1" applyAlignment="1">
      <alignment horizontal="justify" vertical="center"/>
    </xf>
    <xf numFmtId="3" fontId="11" fillId="0" borderId="18" xfId="0" applyNumberFormat="1" applyFont="1" applyBorder="1" applyAlignment="1">
      <alignment horizontal="center" vertical="center" wrapText="1"/>
    </xf>
    <xf numFmtId="43" fontId="13" fillId="13" borderId="14" xfId="2" applyNumberFormat="1" applyFont="1" applyFill="1" applyBorder="1" applyAlignment="1">
      <alignment vertical="center"/>
    </xf>
    <xf numFmtId="3" fontId="11" fillId="0" borderId="1" xfId="0" applyNumberFormat="1" applyFont="1" applyBorder="1" applyAlignment="1">
      <alignment horizontal="left" vertical="center" wrapText="1"/>
    </xf>
    <xf numFmtId="3" fontId="11" fillId="10" borderId="1" xfId="0" applyNumberFormat="1" applyFont="1" applyFill="1" applyBorder="1" applyAlignment="1">
      <alignment horizontal="center" vertical="center" wrapText="1"/>
    </xf>
    <xf numFmtId="0" fontId="13" fillId="13" borderId="7" xfId="0" applyFont="1" applyFill="1" applyBorder="1" applyAlignment="1">
      <alignment horizontal="justify"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xf>
    <xf numFmtId="0" fontId="11" fillId="0" borderId="3" xfId="0" applyFont="1" applyFill="1" applyBorder="1" applyAlignment="1">
      <alignment vertical="center" wrapText="1"/>
    </xf>
    <xf numFmtId="43" fontId="17" fillId="0" borderId="1" xfId="0" applyNumberFormat="1" applyFont="1" applyFill="1" applyBorder="1" applyAlignment="1">
      <alignment vertical="center"/>
    </xf>
    <xf numFmtId="43" fontId="19" fillId="0" borderId="1" xfId="4" applyFont="1" applyBorder="1" applyAlignment="1">
      <alignment horizontal="justify" vertical="center"/>
    </xf>
    <xf numFmtId="0" fontId="11" fillId="13" borderId="14" xfId="0" applyFont="1" applyFill="1" applyBorder="1" applyAlignment="1">
      <alignment horizontal="justify" vertical="center" wrapText="1"/>
    </xf>
    <xf numFmtId="3" fontId="11" fillId="13" borderId="1" xfId="0" applyNumberFormat="1" applyFont="1" applyFill="1" applyBorder="1" applyAlignment="1">
      <alignment horizontal="center" vertical="center"/>
    </xf>
    <xf numFmtId="3" fontId="11" fillId="0" borderId="1" xfId="0" applyNumberFormat="1" applyFont="1" applyFill="1" applyBorder="1" applyAlignment="1">
      <alignment horizontal="left" vertical="center"/>
    </xf>
    <xf numFmtId="43" fontId="11" fillId="0" borderId="12" xfId="4" applyFont="1" applyFill="1" applyBorder="1" applyAlignment="1">
      <alignment horizontal="justify" vertical="center"/>
    </xf>
    <xf numFmtId="43" fontId="5" fillId="0" borderId="12" xfId="4" applyFont="1" applyFill="1" applyBorder="1" applyAlignment="1">
      <alignment horizontal="justify" vertical="center" wrapText="1"/>
    </xf>
    <xf numFmtId="3" fontId="11" fillId="0" borderId="0" xfId="0" applyNumberFormat="1" applyFont="1" applyBorder="1" applyAlignment="1">
      <alignment horizontal="center" vertical="center" wrapText="1"/>
    </xf>
    <xf numFmtId="3" fontId="11" fillId="0" borderId="4" xfId="0" applyNumberFormat="1" applyFont="1" applyFill="1" applyBorder="1" applyAlignment="1">
      <alignment horizontal="left" vertical="center"/>
    </xf>
    <xf numFmtId="43" fontId="11" fillId="0" borderId="13" xfId="2" applyNumberFormat="1" applyFont="1" applyFill="1" applyBorder="1" applyAlignment="1">
      <alignment horizontal="center" vertical="center"/>
    </xf>
    <xf numFmtId="0" fontId="11" fillId="0" borderId="10" xfId="0" applyFont="1" applyFill="1" applyBorder="1" applyAlignment="1">
      <alignment horizontal="center" vertical="center" wrapText="1"/>
    </xf>
    <xf numFmtId="0" fontId="11" fillId="8" borderId="11" xfId="0" applyFont="1" applyFill="1" applyBorder="1" applyAlignment="1">
      <alignment horizontal="justify" vertical="center" wrapText="1"/>
    </xf>
    <xf numFmtId="0" fontId="11" fillId="0" borderId="12" xfId="0" applyFont="1" applyFill="1" applyBorder="1" applyAlignment="1">
      <alignment horizontal="center" vertical="center" wrapText="1"/>
    </xf>
    <xf numFmtId="0" fontId="12" fillId="0" borderId="0" xfId="0" applyFont="1" applyFill="1" applyBorder="1" applyAlignment="1">
      <alignment horizontal="left" vertical="center" wrapText="1"/>
    </xf>
    <xf numFmtId="43" fontId="11" fillId="0" borderId="11" xfId="2" applyNumberFormat="1" applyFont="1" applyFill="1" applyBorder="1" applyAlignment="1">
      <alignment horizontal="center" vertical="center"/>
    </xf>
    <xf numFmtId="3" fontId="11" fillId="0" borderId="1" xfId="0" applyNumberFormat="1" applyFont="1" applyFill="1" applyBorder="1" applyAlignment="1">
      <alignment vertical="center"/>
    </xf>
    <xf numFmtId="1" fontId="9" fillId="0" borderId="1" xfId="0" applyNumberFormat="1" applyFont="1" applyFill="1" applyBorder="1" applyAlignment="1">
      <alignment horizontal="right" vertical="center" wrapText="1"/>
    </xf>
    <xf numFmtId="43" fontId="5" fillId="0" borderId="1" xfId="4" applyFont="1" applyFill="1" applyBorder="1" applyAlignment="1">
      <alignment horizontal="justify" vertical="center"/>
    </xf>
    <xf numFmtId="0" fontId="11" fillId="13" borderId="4" xfId="0" applyFont="1" applyFill="1" applyBorder="1" applyAlignment="1">
      <alignment horizontal="justify" vertical="center" wrapText="1"/>
    </xf>
    <xf numFmtId="0" fontId="11" fillId="13" borderId="4" xfId="0" applyFont="1" applyFill="1" applyBorder="1" applyAlignment="1">
      <alignment horizontal="center" vertical="center" wrapText="1"/>
    </xf>
    <xf numFmtId="3" fontId="11" fillId="13" borderId="4" xfId="0" applyNumberFormat="1" applyFont="1" applyFill="1" applyBorder="1" applyAlignment="1">
      <alignment horizontal="center" vertical="center"/>
    </xf>
    <xf numFmtId="0" fontId="9" fillId="13" borderId="4" xfId="0" applyFont="1" applyFill="1" applyBorder="1" applyAlignment="1">
      <alignment horizontal="right" vertical="center" wrapText="1"/>
    </xf>
    <xf numFmtId="43" fontId="11" fillId="13" borderId="4" xfId="4" applyFont="1" applyFill="1" applyBorder="1" applyAlignment="1">
      <alignment horizontal="justify" vertical="center"/>
    </xf>
    <xf numFmtId="0" fontId="11" fillId="10" borderId="10" xfId="0" applyFont="1" applyFill="1" applyBorder="1" applyAlignment="1">
      <alignment horizontal="justify" vertical="center" wrapText="1"/>
    </xf>
    <xf numFmtId="3" fontId="11" fillId="10" borderId="1" xfId="0" applyNumberFormat="1" applyFont="1" applyFill="1" applyBorder="1" applyAlignment="1">
      <alignment horizontal="center" vertical="center"/>
    </xf>
    <xf numFmtId="0" fontId="12" fillId="2" borderId="3" xfId="0" applyFont="1" applyFill="1" applyBorder="1" applyAlignment="1">
      <alignment horizontal="left" vertical="center" wrapText="1"/>
    </xf>
    <xf numFmtId="43" fontId="11" fillId="0" borderId="1" xfId="0" applyNumberFormat="1" applyFont="1" applyBorder="1" applyAlignment="1">
      <alignment horizontal="justify" vertical="center" wrapText="1"/>
    </xf>
    <xf numFmtId="43" fontId="11" fillId="0" borderId="13" xfId="0" applyNumberFormat="1" applyFont="1" applyBorder="1" applyAlignment="1">
      <alignment horizontal="justify" vertical="center" wrapText="1"/>
    </xf>
    <xf numFmtId="0" fontId="11" fillId="2" borderId="4" xfId="0" applyFont="1" applyFill="1" applyBorder="1" applyAlignment="1">
      <alignment vertical="center" wrapText="1"/>
    </xf>
    <xf numFmtId="43" fontId="11" fillId="2" borderId="1" xfId="0" applyNumberFormat="1" applyFont="1" applyFill="1" applyBorder="1" applyAlignment="1">
      <alignment horizontal="justify" vertical="center" wrapText="1"/>
    </xf>
    <xf numFmtId="43" fontId="11" fillId="2" borderId="13" xfId="0" applyNumberFormat="1" applyFont="1" applyFill="1" applyBorder="1" applyAlignment="1">
      <alignment horizontal="justify" vertical="center" wrapText="1"/>
    </xf>
    <xf numFmtId="43" fontId="11" fillId="13" borderId="1" xfId="0" applyNumberFormat="1" applyFont="1" applyFill="1" applyBorder="1" applyAlignment="1">
      <alignment horizontal="right"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justify" vertical="center" wrapText="1"/>
    </xf>
    <xf numFmtId="3" fontId="11" fillId="0" borderId="1" xfId="0" applyNumberFormat="1" applyFont="1" applyFill="1" applyBorder="1" applyAlignment="1">
      <alignment horizontal="center" vertical="center"/>
    </xf>
    <xf numFmtId="43" fontId="11" fillId="0" borderId="1" xfId="0" applyNumberFormat="1" applyFont="1" applyFill="1" applyBorder="1" applyAlignment="1">
      <alignment horizontal="justify" vertical="center" wrapText="1"/>
    </xf>
    <xf numFmtId="43" fontId="11" fillId="0" borderId="1" xfId="4" applyFont="1" applyFill="1" applyBorder="1" applyAlignment="1">
      <alignment horizontal="justify" vertical="center" wrapText="1"/>
    </xf>
    <xf numFmtId="43" fontId="11" fillId="0" borderId="13" xfId="0" applyNumberFormat="1" applyFont="1" applyFill="1" applyBorder="1" applyAlignment="1">
      <alignment horizontal="justify" vertical="center" wrapText="1"/>
    </xf>
    <xf numFmtId="0" fontId="11" fillId="0" borderId="1" xfId="4" applyNumberFormat="1" applyFont="1" applyFill="1" applyBorder="1" applyAlignment="1">
      <alignment horizontal="center" vertical="center" wrapText="1"/>
    </xf>
    <xf numFmtId="0" fontId="12" fillId="0" borderId="11" xfId="0" applyFont="1" applyFill="1" applyBorder="1" applyAlignment="1">
      <alignment horizontal="justify" vertical="center" wrapText="1"/>
    </xf>
    <xf numFmtId="43" fontId="11" fillId="0" borderId="1" xfId="0" applyNumberFormat="1" applyFont="1" applyFill="1" applyBorder="1" applyAlignment="1">
      <alignment horizontal="right" vertical="center"/>
    </xf>
    <xf numFmtId="9" fontId="11" fillId="13" borderId="1" xfId="5" applyFont="1" applyFill="1" applyBorder="1" applyAlignment="1">
      <alignment horizontal="center" vertical="center" wrapText="1"/>
    </xf>
    <xf numFmtId="43" fontId="13" fillId="13" borderId="1" xfId="0" applyNumberFormat="1" applyFont="1" applyFill="1" applyBorder="1" applyAlignment="1">
      <alignment horizontal="right" vertical="center" wrapText="1"/>
    </xf>
    <xf numFmtId="3" fontId="11"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11" fillId="0" borderId="6" xfId="0" applyFont="1" applyFill="1" applyBorder="1" applyAlignment="1">
      <alignment horizontal="justify" vertical="center" wrapText="1"/>
    </xf>
    <xf numFmtId="43" fontId="11" fillId="0" borderId="18" xfId="4" applyFont="1" applyFill="1" applyBorder="1" applyAlignment="1">
      <alignment horizontal="justify" vertical="center"/>
    </xf>
    <xf numFmtId="43" fontId="11" fillId="0" borderId="0" xfId="4" applyFont="1" applyFill="1" applyBorder="1" applyAlignment="1">
      <alignment horizontal="justify" vertical="center"/>
    </xf>
    <xf numFmtId="43" fontId="11" fillId="0" borderId="0" xfId="2" applyNumberFormat="1" applyFont="1" applyFill="1" applyBorder="1" applyAlignment="1">
      <alignment horizontal="center" vertical="center"/>
    </xf>
    <xf numFmtId="0" fontId="12" fillId="0" borderId="3" xfId="0" applyFont="1" applyFill="1" applyBorder="1"/>
    <xf numFmtId="43" fontId="11" fillId="0" borderId="1" xfId="0" applyNumberFormat="1" applyFont="1" applyFill="1" applyBorder="1"/>
    <xf numFmtId="43" fontId="17" fillId="0" borderId="1" xfId="0" applyNumberFormat="1" applyFont="1" applyFill="1" applyBorder="1" applyAlignment="1">
      <alignment horizontal="left" vertical="center" wrapText="1"/>
    </xf>
    <xf numFmtId="43" fontId="11" fillId="0" borderId="1" xfId="0" applyNumberFormat="1" applyFont="1" applyFill="1" applyBorder="1" applyAlignment="1">
      <alignment horizontal="left" vertical="center" wrapText="1"/>
    </xf>
    <xf numFmtId="43" fontId="11" fillId="0" borderId="0" xfId="0" applyNumberFormat="1" applyFont="1" applyFill="1" applyBorder="1" applyAlignment="1">
      <alignment horizontal="justify" vertical="center" wrapText="1"/>
    </xf>
    <xf numFmtId="43" fontId="11" fillId="0" borderId="0" xfId="0" applyNumberFormat="1" applyFont="1" applyFill="1" applyBorder="1"/>
    <xf numFmtId="0" fontId="13" fillId="0" borderId="12" xfId="0" applyFont="1" applyBorder="1" applyAlignment="1">
      <alignment horizontal="right" vertical="center" wrapText="1"/>
    </xf>
    <xf numFmtId="0" fontId="13" fillId="0" borderId="4" xfId="0" applyFont="1" applyBorder="1" applyAlignment="1">
      <alignment horizontal="right" vertical="center" wrapText="1"/>
    </xf>
    <xf numFmtId="0" fontId="11" fillId="0" borderId="1" xfId="0" applyFont="1" applyFill="1" applyBorder="1" applyAlignment="1">
      <alignment horizontal="right" vertical="center" wrapText="1"/>
    </xf>
    <xf numFmtId="0" fontId="11" fillId="13" borderId="1" xfId="0" applyFont="1" applyFill="1" applyBorder="1" applyAlignment="1">
      <alignment horizontal="right" vertical="center" wrapText="1"/>
    </xf>
    <xf numFmtId="3" fontId="11" fillId="13" borderId="1" xfId="0" applyNumberFormat="1" applyFont="1" applyFill="1" applyBorder="1" applyAlignment="1">
      <alignment horizontal="right" vertical="center"/>
    </xf>
    <xf numFmtId="0" fontId="16" fillId="0" borderId="0" xfId="0" applyFont="1" applyFill="1" applyBorder="1" applyAlignment="1">
      <alignment horizontal="right" vertical="center"/>
    </xf>
    <xf numFmtId="0" fontId="11" fillId="10" borderId="14" xfId="0" applyFont="1" applyFill="1" applyBorder="1" applyAlignment="1">
      <alignment horizontal="right" vertical="center" wrapText="1"/>
    </xf>
    <xf numFmtId="0" fontId="11" fillId="10" borderId="1" xfId="0" applyFont="1" applyFill="1" applyBorder="1" applyAlignment="1">
      <alignment horizontal="right" vertical="center" wrapText="1"/>
    </xf>
    <xf numFmtId="3" fontId="11" fillId="10" borderId="1" xfId="0" applyNumberFormat="1" applyFont="1" applyFill="1" applyBorder="1" applyAlignment="1">
      <alignment horizontal="right" vertical="center"/>
    </xf>
    <xf numFmtId="43" fontId="11" fillId="10" borderId="1" xfId="0" applyNumberFormat="1" applyFont="1" applyFill="1" applyBorder="1" applyAlignment="1">
      <alignment horizontal="right" vertical="center" wrapText="1"/>
    </xf>
    <xf numFmtId="0" fontId="12" fillId="0" borderId="0" xfId="0" applyFont="1" applyFill="1" applyBorder="1" applyAlignment="1">
      <alignment horizontal="right"/>
    </xf>
    <xf numFmtId="49" fontId="11" fillId="0" borderId="14" xfId="0" applyNumberFormat="1" applyFont="1" applyFill="1" applyBorder="1" applyAlignment="1">
      <alignment horizontal="center" vertical="center" wrapText="1"/>
    </xf>
    <xf numFmtId="49" fontId="11" fillId="0" borderId="1" xfId="0" applyNumberFormat="1" applyFont="1" applyFill="1" applyBorder="1" applyAlignment="1">
      <alignment horizontal="justify" vertical="center" wrapText="1"/>
    </xf>
    <xf numFmtId="49" fontId="11" fillId="10" borderId="14" xfId="0" applyNumberFormat="1" applyFont="1" applyFill="1" applyBorder="1" applyAlignment="1">
      <alignment horizontal="justify" vertical="center" wrapText="1"/>
    </xf>
    <xf numFmtId="49" fontId="11" fillId="10" borderId="1" xfId="0" applyNumberFormat="1" applyFont="1" applyFill="1" applyBorder="1" applyAlignment="1">
      <alignment horizontal="center" vertical="center" wrapText="1"/>
    </xf>
    <xf numFmtId="49" fontId="11" fillId="10" borderId="1" xfId="0" applyNumberFormat="1" applyFont="1" applyFill="1" applyBorder="1" applyAlignment="1">
      <alignment horizontal="justify" vertical="center" wrapText="1"/>
    </xf>
    <xf numFmtId="49" fontId="11" fillId="9" borderId="1" xfId="0" applyNumberFormat="1" applyFont="1" applyFill="1" applyBorder="1" applyAlignment="1">
      <alignment horizontal="justify" vertical="center" wrapText="1"/>
    </xf>
    <xf numFmtId="49" fontId="11" fillId="9" borderId="1" xfId="0" applyNumberFormat="1" applyFont="1" applyFill="1" applyBorder="1" applyAlignment="1">
      <alignment horizontal="center" vertical="center" wrapText="1"/>
    </xf>
    <xf numFmtId="3" fontId="11" fillId="9" borderId="1" xfId="0" applyNumberFormat="1" applyFont="1" applyFill="1" applyBorder="1" applyAlignment="1">
      <alignment horizontal="center" vertical="center" wrapText="1"/>
    </xf>
    <xf numFmtId="43" fontId="8" fillId="0" borderId="18" xfId="4" applyFont="1" applyBorder="1" applyAlignment="1">
      <alignment horizontal="justify" vertical="center"/>
    </xf>
    <xf numFmtId="43" fontId="13" fillId="12" borderId="1" xfId="0" applyNumberFormat="1" applyFont="1" applyFill="1" applyBorder="1" applyAlignment="1">
      <alignment horizontal="left" vertical="center"/>
    </xf>
    <xf numFmtId="43" fontId="13" fillId="9" borderId="1" xfId="0" applyNumberFormat="1" applyFont="1" applyFill="1" applyBorder="1" applyAlignment="1">
      <alignment vertical="center"/>
    </xf>
    <xf numFmtId="43" fontId="13" fillId="10" borderId="1" xfId="0" applyNumberFormat="1" applyFont="1" applyFill="1" applyBorder="1" applyAlignment="1">
      <alignment vertical="center"/>
    </xf>
    <xf numFmtId="0" fontId="13" fillId="0" borderId="1" xfId="0" applyFont="1" applyBorder="1" applyAlignment="1">
      <alignment vertical="center" wrapText="1"/>
    </xf>
    <xf numFmtId="43" fontId="13" fillId="13" borderId="1" xfId="0" applyNumberFormat="1" applyFont="1" applyFill="1" applyBorder="1" applyAlignment="1">
      <alignment vertical="center"/>
    </xf>
    <xf numFmtId="0" fontId="11" fillId="2" borderId="12" xfId="0" applyFont="1" applyFill="1" applyBorder="1" applyAlignment="1">
      <alignment horizontal="center" vertical="center"/>
    </xf>
    <xf numFmtId="49" fontId="11" fillId="0" borderId="18" xfId="0" applyNumberFormat="1" applyFont="1" applyBorder="1" applyAlignment="1">
      <alignment horizontal="justify" vertical="center" wrapText="1"/>
    </xf>
    <xf numFmtId="49" fontId="11" fillId="0" borderId="18" xfId="0" applyNumberFormat="1" applyFont="1" applyBorder="1" applyAlignment="1">
      <alignment horizontal="center" vertical="center" wrapText="1"/>
    </xf>
    <xf numFmtId="49" fontId="11" fillId="8" borderId="11" xfId="0" applyNumberFormat="1" applyFont="1" applyFill="1" applyBorder="1" applyAlignment="1">
      <alignment vertical="center" wrapText="1"/>
    </xf>
    <xf numFmtId="49" fontId="11" fillId="8" borderId="14" xfId="0" applyNumberFormat="1" applyFont="1" applyFill="1" applyBorder="1" applyAlignment="1">
      <alignment horizontal="center" vertical="center" wrapText="1"/>
    </xf>
    <xf numFmtId="49" fontId="11" fillId="0" borderId="12" xfId="0" applyNumberFormat="1"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justify" vertical="center" wrapText="1"/>
    </xf>
    <xf numFmtId="43" fontId="13" fillId="13" borderId="18" xfId="0" applyNumberFormat="1" applyFont="1" applyFill="1" applyBorder="1" applyAlignment="1">
      <alignment horizontal="left" vertical="center"/>
    </xf>
    <xf numFmtId="0" fontId="11" fillId="2" borderId="12" xfId="0" applyFont="1" applyFill="1" applyBorder="1" applyAlignment="1">
      <alignment horizontal="justify" vertical="center" wrapText="1"/>
    </xf>
    <xf numFmtId="0" fontId="11" fillId="0" borderId="11" xfId="0" applyFont="1" applyFill="1" applyBorder="1" applyAlignment="1">
      <alignment horizontal="justify" vertical="center"/>
    </xf>
    <xf numFmtId="49" fontId="11" fillId="8" borderId="12" xfId="0" applyNumberFormat="1" applyFont="1" applyFill="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justify" vertical="center" wrapText="1"/>
    </xf>
    <xf numFmtId="49" fontId="11" fillId="8" borderId="4" xfId="0" applyNumberFormat="1" applyFont="1" applyFill="1" applyBorder="1" applyAlignment="1">
      <alignment vertical="center" wrapText="1"/>
    </xf>
    <xf numFmtId="49" fontId="11" fillId="0" borderId="12" xfId="0" applyNumberFormat="1" applyFont="1" applyBorder="1" applyAlignment="1">
      <alignment vertical="center" wrapText="1"/>
    </xf>
    <xf numFmtId="0" fontId="11" fillId="2" borderId="1" xfId="0" applyFont="1" applyFill="1" applyBorder="1" applyAlignment="1">
      <alignment horizontal="justify" vertical="center"/>
    </xf>
    <xf numFmtId="0" fontId="11" fillId="2" borderId="14" xfId="0" applyFont="1" applyFill="1" applyBorder="1" applyAlignment="1">
      <alignment horizontal="center" vertical="center" wrapText="1"/>
    </xf>
    <xf numFmtId="0" fontId="11" fillId="2" borderId="7" xfId="0"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11" fillId="13" borderId="1" xfId="0" applyFont="1" applyFill="1" applyBorder="1" applyAlignment="1">
      <alignment vertical="center" wrapText="1"/>
    </xf>
    <xf numFmtId="0" fontId="11" fillId="10" borderId="1" xfId="0" applyFont="1" applyFill="1" applyBorder="1" applyAlignment="1">
      <alignment vertical="center" wrapText="1"/>
    </xf>
    <xf numFmtId="0" fontId="11" fillId="14" borderId="1" xfId="0" applyFont="1" applyFill="1" applyBorder="1" applyAlignment="1">
      <alignment horizontal="justify" vertical="center"/>
    </xf>
    <xf numFmtId="43" fontId="11" fillId="0" borderId="1" xfId="0" applyNumberFormat="1" applyFont="1" applyBorder="1" applyAlignment="1">
      <alignment horizontal="right" vertical="center" wrapText="1"/>
    </xf>
    <xf numFmtId="0" fontId="13" fillId="10" borderId="6" xfId="0" applyFont="1" applyFill="1" applyBorder="1" applyAlignment="1">
      <alignment horizontal="justify" vertical="center" wrapText="1"/>
    </xf>
    <xf numFmtId="43" fontId="11" fillId="2" borderId="1" xfId="4" applyFont="1" applyFill="1" applyBorder="1" applyAlignment="1">
      <alignment horizontal="right" vertical="center"/>
    </xf>
    <xf numFmtId="43" fontId="11" fillId="0" borderId="1" xfId="4" applyFont="1" applyBorder="1" applyAlignment="1">
      <alignment horizontal="right" vertical="center"/>
    </xf>
    <xf numFmtId="0" fontId="5" fillId="0" borderId="11" xfId="0" applyFont="1" applyBorder="1" applyAlignment="1">
      <alignment horizontal="justify" vertical="center" wrapText="1"/>
    </xf>
    <xf numFmtId="0" fontId="11" fillId="13" borderId="1" xfId="4" applyNumberFormat="1" applyFont="1" applyFill="1" applyBorder="1" applyAlignment="1">
      <alignment horizontal="center" vertical="center" wrapText="1"/>
    </xf>
    <xf numFmtId="0" fontId="5" fillId="0" borderId="11" xfId="0" applyFont="1" applyBorder="1" applyAlignment="1">
      <alignment vertical="center" wrapText="1"/>
    </xf>
    <xf numFmtId="0" fontId="11" fillId="0" borderId="11" xfId="0" applyFont="1" applyBorder="1" applyAlignment="1">
      <alignment vertical="center"/>
    </xf>
    <xf numFmtId="0" fontId="11" fillId="0" borderId="12" xfId="0" applyFont="1" applyBorder="1" applyAlignment="1">
      <alignment vertical="center"/>
    </xf>
    <xf numFmtId="0" fontId="5" fillId="0" borderId="1" xfId="0" applyFont="1" applyFill="1" applyBorder="1" applyAlignment="1">
      <alignment vertical="center" wrapText="1"/>
    </xf>
    <xf numFmtId="43" fontId="11" fillId="6" borderId="13" xfId="2" applyNumberFormat="1" applyFont="1" applyFill="1" applyBorder="1" applyAlignment="1">
      <alignment horizontal="right" vertical="center" wrapText="1"/>
    </xf>
    <xf numFmtId="0" fontId="12" fillId="7" borderId="0" xfId="0" applyFont="1" applyFill="1" applyBorder="1" applyAlignment="1">
      <alignment horizontal="center" vertical="center"/>
    </xf>
    <xf numFmtId="0" fontId="12" fillId="7" borderId="0" xfId="0" applyFont="1" applyFill="1" applyBorder="1"/>
    <xf numFmtId="0" fontId="13" fillId="6" borderId="2" xfId="0" applyFont="1" applyFill="1" applyBorder="1" applyAlignment="1">
      <alignment vertical="center" wrapText="1"/>
    </xf>
    <xf numFmtId="0" fontId="13" fillId="6" borderId="12" xfId="0" applyFont="1" applyFill="1" applyBorder="1" applyAlignment="1">
      <alignment vertical="center" wrapText="1"/>
    </xf>
    <xf numFmtId="0" fontId="11" fillId="6" borderId="1" xfId="0" applyFont="1" applyFill="1" applyBorder="1" applyAlignment="1">
      <alignment vertical="center" wrapText="1"/>
    </xf>
    <xf numFmtId="0" fontId="11" fillId="6" borderId="1" xfId="0" applyFont="1" applyFill="1" applyBorder="1" applyAlignment="1">
      <alignment horizontal="justify" vertical="center" wrapText="1"/>
    </xf>
    <xf numFmtId="0" fontId="11" fillId="6" borderId="4" xfId="0" applyFont="1" applyFill="1" applyBorder="1" applyAlignment="1">
      <alignment vertical="center" wrapText="1"/>
    </xf>
    <xf numFmtId="0" fontId="11" fillId="6" borderId="1" xfId="0" applyFont="1" applyFill="1" applyBorder="1" applyAlignment="1">
      <alignment horizontal="center" vertical="center" wrapText="1"/>
    </xf>
    <xf numFmtId="0" fontId="9" fillId="6" borderId="1" xfId="0" applyFont="1" applyFill="1" applyBorder="1" applyAlignment="1">
      <alignment horizontal="right" vertical="center" wrapText="1"/>
    </xf>
    <xf numFmtId="3" fontId="11" fillId="6" borderId="1" xfId="0" applyNumberFormat="1" applyFont="1" applyFill="1" applyBorder="1" applyAlignment="1">
      <alignment horizontal="center" vertical="center" wrapText="1"/>
    </xf>
    <xf numFmtId="43" fontId="11" fillId="6" borderId="1" xfId="4" applyFont="1" applyFill="1" applyBorder="1" applyAlignment="1">
      <alignment horizontal="justify" vertical="center"/>
    </xf>
    <xf numFmtId="4" fontId="12" fillId="6" borderId="0" xfId="0" applyNumberFormat="1" applyFont="1" applyFill="1" applyBorder="1" applyAlignment="1">
      <alignment vertical="center"/>
    </xf>
    <xf numFmtId="43" fontId="11" fillId="6" borderId="13" xfId="4" applyFont="1" applyFill="1" applyBorder="1" applyAlignment="1">
      <alignment horizontal="justify" vertical="center"/>
    </xf>
    <xf numFmtId="43" fontId="12" fillId="6" borderId="1" xfId="0" applyNumberFormat="1" applyFont="1" applyFill="1" applyBorder="1" applyAlignment="1">
      <alignment vertical="center"/>
    </xf>
    <xf numFmtId="0" fontId="12" fillId="6" borderId="0" xfId="0" applyFont="1" applyFill="1" applyBorder="1"/>
    <xf numFmtId="0" fontId="11" fillId="15" borderId="14" xfId="0" applyFont="1" applyFill="1" applyBorder="1" applyAlignment="1">
      <alignment horizontal="center" vertical="center" wrapText="1"/>
    </xf>
    <xf numFmtId="0" fontId="11" fillId="15"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11" fillId="0" borderId="12" xfId="0" applyFont="1" applyBorder="1" applyAlignment="1">
      <alignment horizontal="center" vertical="center" wrapText="1"/>
    </xf>
    <xf numFmtId="0" fontId="11" fillId="0" borderId="6" xfId="0" applyFont="1" applyFill="1" applyBorder="1" applyAlignment="1">
      <alignment horizontal="center" vertical="center" wrapText="1"/>
    </xf>
    <xf numFmtId="0" fontId="13" fillId="13" borderId="6" xfId="0" applyFont="1" applyFill="1" applyBorder="1" applyAlignment="1">
      <alignment horizontal="justify" vertical="center" wrapText="1"/>
    </xf>
    <xf numFmtId="0" fontId="5" fillId="0" borderId="4" xfId="0" applyFont="1" applyBorder="1" applyAlignment="1">
      <alignment horizontal="justify" vertical="center" wrapText="1"/>
    </xf>
    <xf numFmtId="0" fontId="11" fillId="2" borderId="4" xfId="0" applyFont="1" applyFill="1" applyBorder="1" applyAlignment="1">
      <alignment horizontal="justify" vertical="center" wrapText="1"/>
    </xf>
    <xf numFmtId="0" fontId="5" fillId="0" borderId="7" xfId="0" applyFont="1" applyFill="1" applyBorder="1" applyAlignment="1">
      <alignment horizontal="center" vertical="center" wrapText="1"/>
    </xf>
    <xf numFmtId="0" fontId="11" fillId="0" borderId="11" xfId="0" applyFont="1" applyBorder="1" applyAlignment="1">
      <alignment horizontal="center" vertical="center"/>
    </xf>
    <xf numFmtId="43" fontId="13" fillId="10" borderId="1" xfId="4" applyFont="1" applyFill="1" applyBorder="1" applyAlignment="1">
      <alignment horizontal="justify" vertical="center"/>
    </xf>
    <xf numFmtId="1" fontId="11" fillId="0" borderId="1" xfId="0" applyNumberFormat="1" applyFont="1" applyFill="1" applyBorder="1" applyAlignment="1">
      <alignment horizontal="center" vertical="center" wrapText="1"/>
    </xf>
    <xf numFmtId="1" fontId="11" fillId="13" borderId="1" xfId="0" applyNumberFormat="1"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0" fontId="9" fillId="0" borderId="12" xfId="0" applyFont="1" applyBorder="1" applyAlignment="1">
      <alignment horizontal="right" vertical="center" wrapText="1"/>
    </xf>
    <xf numFmtId="43" fontId="11" fillId="13" borderId="13" xfId="2" applyNumberFormat="1" applyFont="1" applyFill="1" applyBorder="1" applyAlignment="1">
      <alignment horizontal="center" vertical="center"/>
    </xf>
    <xf numFmtId="43" fontId="11" fillId="13" borderId="13" xfId="4" applyFont="1" applyFill="1" applyBorder="1" applyAlignment="1">
      <alignment horizontal="justify" vertical="center"/>
    </xf>
    <xf numFmtId="43" fontId="13" fillId="13" borderId="13" xfId="4" applyFont="1" applyFill="1" applyBorder="1" applyAlignment="1">
      <alignment horizontal="justify" vertical="center"/>
    </xf>
    <xf numFmtId="0" fontId="11" fillId="0" borderId="12" xfId="0" applyFont="1" applyFill="1" applyBorder="1" applyAlignment="1">
      <alignment horizontal="justify" vertical="center" wrapText="1"/>
    </xf>
    <xf numFmtId="43" fontId="11" fillId="0" borderId="1" xfId="4" applyFont="1" applyFill="1" applyBorder="1" applyAlignment="1">
      <alignment horizontal="right" vertical="center"/>
    </xf>
    <xf numFmtId="0" fontId="9" fillId="0" borderId="12" xfId="0" applyFont="1" applyFill="1" applyBorder="1" applyAlignment="1">
      <alignment horizontal="right" vertical="center" wrapText="1"/>
    </xf>
    <xf numFmtId="4" fontId="12" fillId="0" borderId="0" xfId="0" applyNumberFormat="1" applyFont="1" applyFill="1" applyBorder="1" applyAlignment="1">
      <alignment vertical="center"/>
    </xf>
    <xf numFmtId="166" fontId="12" fillId="0" borderId="0" xfId="0" applyNumberFormat="1" applyFont="1" applyFill="1" applyBorder="1"/>
    <xf numFmtId="0" fontId="11" fillId="14" borderId="11" xfId="0" applyFont="1" applyFill="1" applyBorder="1" applyAlignment="1">
      <alignment horizontal="justify" vertical="center" wrapText="1"/>
    </xf>
    <xf numFmtId="0" fontId="11" fillId="14" borderId="11" xfId="0" applyFont="1" applyFill="1" applyBorder="1" applyAlignment="1">
      <alignment horizontal="center" vertical="center" wrapText="1"/>
    </xf>
    <xf numFmtId="0" fontId="9" fillId="14" borderId="11" xfId="0" applyFont="1" applyFill="1" applyBorder="1" applyAlignment="1">
      <alignment horizontal="right" vertical="center" wrapText="1"/>
    </xf>
    <xf numFmtId="43" fontId="11" fillId="14" borderId="11" xfId="4" applyFont="1" applyFill="1" applyBorder="1" applyAlignment="1">
      <alignment horizontal="justify" vertical="center"/>
    </xf>
    <xf numFmtId="43" fontId="11" fillId="14" borderId="11" xfId="2" applyNumberFormat="1" applyFont="1" applyFill="1" applyBorder="1" applyAlignment="1">
      <alignment horizontal="center" vertical="center"/>
    </xf>
    <xf numFmtId="43" fontId="11" fillId="0" borderId="3" xfId="2" applyNumberFormat="1" applyFont="1" applyBorder="1" applyAlignment="1">
      <alignment horizontal="center" vertical="center"/>
    </xf>
    <xf numFmtId="0" fontId="16" fillId="12" borderId="8" xfId="0" applyFont="1" applyFill="1" applyBorder="1" applyAlignment="1">
      <alignment horizontal="left" vertical="center"/>
    </xf>
    <xf numFmtId="0" fontId="16" fillId="12" borderId="9" xfId="0" applyFont="1" applyFill="1" applyBorder="1" applyAlignment="1">
      <alignment horizontal="left" vertical="center"/>
    </xf>
    <xf numFmtId="0" fontId="16" fillId="12" borderId="9" xfId="0" applyFont="1" applyFill="1" applyBorder="1" applyAlignment="1">
      <alignment horizontal="center" vertical="center"/>
    </xf>
    <xf numFmtId="0" fontId="7" fillId="12" borderId="9" xfId="0" applyFont="1" applyFill="1" applyBorder="1" applyAlignment="1">
      <alignment horizontal="right" vertical="center"/>
    </xf>
    <xf numFmtId="0" fontId="13" fillId="12" borderId="9" xfId="0" applyFont="1" applyFill="1" applyBorder="1" applyAlignment="1">
      <alignment horizontal="center" vertical="center"/>
    </xf>
    <xf numFmtId="169" fontId="13" fillId="12" borderId="10" xfId="0" applyNumberFormat="1" applyFont="1" applyFill="1" applyBorder="1" applyAlignment="1">
      <alignment horizontal="left" vertical="center"/>
    </xf>
    <xf numFmtId="0" fontId="9" fillId="0" borderId="11" xfId="0" applyFont="1" applyFill="1" applyBorder="1" applyAlignment="1">
      <alignment horizontal="right" vertical="center"/>
    </xf>
    <xf numFmtId="43" fontId="12" fillId="0" borderId="1" xfId="0" applyNumberFormat="1" applyFont="1" applyFill="1" applyBorder="1" applyAlignment="1">
      <alignment vertical="center"/>
    </xf>
    <xf numFmtId="0" fontId="13" fillId="17" borderId="18" xfId="0" applyFont="1" applyFill="1" applyBorder="1" applyAlignment="1">
      <alignment horizontal="center" vertical="center" wrapText="1"/>
    </xf>
    <xf numFmtId="0" fontId="13" fillId="17" borderId="14" xfId="0" applyFont="1" applyFill="1" applyBorder="1" applyAlignment="1">
      <alignment horizontal="center" vertical="center" wrapText="1"/>
    </xf>
    <xf numFmtId="0" fontId="11" fillId="17" borderId="1" xfId="0" applyFont="1" applyFill="1" applyBorder="1" applyAlignment="1">
      <alignment horizontal="center" vertical="center" wrapText="1"/>
    </xf>
    <xf numFmtId="43" fontId="13" fillId="17" borderId="1" xfId="4" applyFont="1" applyFill="1" applyBorder="1" applyAlignment="1">
      <alignment horizontal="justify" vertical="center"/>
    </xf>
    <xf numFmtId="0" fontId="13" fillId="0" borderId="0" xfId="0" applyFont="1" applyBorder="1" applyAlignment="1">
      <alignment horizontal="center" vertical="center" wrapText="1"/>
    </xf>
    <xf numFmtId="43" fontId="13" fillId="0" borderId="0" xfId="4" applyFont="1" applyBorder="1" applyAlignment="1">
      <alignment horizontal="justify" vertical="center"/>
    </xf>
    <xf numFmtId="43" fontId="7" fillId="0" borderId="0" xfId="4" applyFont="1" applyBorder="1" applyAlignment="1">
      <alignment horizontal="justify" vertical="center"/>
    </xf>
    <xf numFmtId="43" fontId="12" fillId="2" borderId="3" xfId="0" applyNumberFormat="1" applyFont="1" applyFill="1" applyBorder="1"/>
    <xf numFmtId="0" fontId="22" fillId="12" borderId="13" xfId="0" applyFont="1" applyFill="1" applyBorder="1" applyAlignment="1">
      <alignment horizontal="left" vertical="center"/>
    </xf>
    <xf numFmtId="0" fontId="22" fillId="12" borderId="18" xfId="0" applyFont="1" applyFill="1" applyBorder="1" applyAlignment="1">
      <alignment horizontal="left" vertical="center"/>
    </xf>
    <xf numFmtId="0" fontId="22" fillId="12" borderId="18" xfId="0" applyFont="1" applyFill="1" applyBorder="1" applyAlignment="1">
      <alignment horizontal="center" vertical="center"/>
    </xf>
    <xf numFmtId="43" fontId="17" fillId="0" borderId="13" xfId="0" applyNumberFormat="1" applyFont="1" applyBorder="1" applyAlignment="1">
      <alignment horizontal="center" vertical="center" wrapText="1"/>
    </xf>
    <xf numFmtId="43" fontId="11" fillId="13" borderId="1" xfId="0" applyNumberFormat="1" applyFont="1" applyFill="1" applyBorder="1" applyAlignment="1">
      <alignment horizontal="center" vertical="center"/>
    </xf>
    <xf numFmtId="0" fontId="9" fillId="0" borderId="11" xfId="0" applyFont="1" applyBorder="1" applyAlignment="1">
      <alignment horizontal="right" vertical="center"/>
    </xf>
    <xf numFmtId="43" fontId="11" fillId="0" borderId="13" xfId="2" applyNumberFormat="1" applyFont="1" applyBorder="1" applyAlignment="1">
      <alignment horizontal="right" vertical="center"/>
    </xf>
    <xf numFmtId="0" fontId="12" fillId="0" borderId="1" xfId="0" applyFont="1" applyBorder="1" applyAlignment="1">
      <alignment horizontal="justify" vertical="center"/>
    </xf>
    <xf numFmtId="43" fontId="17" fillId="0" borderId="13" xfId="4" applyFont="1" applyBorder="1" applyAlignment="1">
      <alignment horizontal="center" vertical="center" wrapText="1"/>
    </xf>
    <xf numFmtId="43" fontId="17" fillId="0" borderId="1" xfId="4" applyFont="1" applyBorder="1" applyAlignment="1">
      <alignment horizontal="center" vertical="center" wrapText="1"/>
    </xf>
    <xf numFmtId="43" fontId="11" fillId="13" borderId="1" xfId="4" applyFont="1" applyFill="1" applyBorder="1" applyAlignment="1">
      <alignment vertical="center"/>
    </xf>
    <xf numFmtId="43" fontId="11" fillId="0" borderId="1" xfId="2" applyNumberFormat="1" applyFont="1" applyBorder="1" applyAlignment="1">
      <alignment horizontal="right" vertical="center"/>
    </xf>
    <xf numFmtId="0" fontId="9" fillId="10" borderId="1" xfId="0" applyFont="1" applyFill="1" applyBorder="1" applyAlignment="1">
      <alignment horizontal="right" vertical="center"/>
    </xf>
    <xf numFmtId="0" fontId="11" fillId="10" borderId="1" xfId="0" applyFont="1" applyFill="1" applyBorder="1" applyAlignment="1">
      <alignment horizontal="justify" vertical="center"/>
    </xf>
    <xf numFmtId="43" fontId="17" fillId="0" borderId="1" xfId="0" applyNumberFormat="1" applyFont="1" applyBorder="1" applyAlignment="1">
      <alignment horizontal="center" vertical="center"/>
    </xf>
    <xf numFmtId="0" fontId="11" fillId="13" borderId="12" xfId="0" applyFont="1" applyFill="1" applyBorder="1" applyAlignment="1">
      <alignment horizontal="justify" vertical="center" wrapText="1"/>
    </xf>
    <xf numFmtId="0" fontId="11" fillId="13" borderId="12" xfId="0" applyFont="1" applyFill="1" applyBorder="1" applyAlignment="1">
      <alignment horizontal="center" vertical="center" wrapText="1"/>
    </xf>
    <xf numFmtId="0" fontId="11" fillId="13" borderId="12" xfId="0" applyFont="1" applyFill="1" applyBorder="1" applyAlignment="1">
      <alignment horizontal="center" vertical="center"/>
    </xf>
    <xf numFmtId="0" fontId="9" fillId="13" borderId="12" xfId="0" applyFont="1" applyFill="1" applyBorder="1" applyAlignment="1">
      <alignment horizontal="right" vertical="center"/>
    </xf>
    <xf numFmtId="0" fontId="11" fillId="13" borderId="12" xfId="0" applyFont="1" applyFill="1" applyBorder="1" applyAlignment="1">
      <alignment horizontal="justify" vertical="center"/>
    </xf>
    <xf numFmtId="43" fontId="11" fillId="13" borderId="12" xfId="4" applyFont="1" applyFill="1" applyBorder="1" applyAlignment="1">
      <alignment horizontal="justify" vertical="center"/>
    </xf>
    <xf numFmtId="43" fontId="11" fillId="13" borderId="12" xfId="2" applyNumberFormat="1" applyFont="1" applyFill="1" applyBorder="1" applyAlignment="1">
      <alignment horizontal="center" vertical="center"/>
    </xf>
    <xf numFmtId="0" fontId="9" fillId="13" borderId="11" xfId="0" applyFont="1" applyFill="1" applyBorder="1" applyAlignment="1">
      <alignment horizontal="right" vertical="center"/>
    </xf>
    <xf numFmtId="0" fontId="11" fillId="13" borderId="11" xfId="0" applyFont="1" applyFill="1" applyBorder="1" applyAlignment="1">
      <alignment horizontal="justify" vertical="center"/>
    </xf>
    <xf numFmtId="43" fontId="11" fillId="13" borderId="11" xfId="2" applyNumberFormat="1" applyFont="1" applyFill="1" applyBorder="1" applyAlignment="1">
      <alignment horizontal="center" vertical="center"/>
    </xf>
    <xf numFmtId="43" fontId="11" fillId="13" borderId="11" xfId="4" applyFont="1" applyFill="1" applyBorder="1" applyAlignment="1">
      <alignment vertical="center"/>
    </xf>
    <xf numFmtId="0" fontId="11" fillId="10" borderId="11" xfId="0" applyFont="1" applyFill="1" applyBorder="1" applyAlignment="1">
      <alignment horizontal="center" vertical="center"/>
    </xf>
    <xf numFmtId="0" fontId="9" fillId="10" borderId="11" xfId="0" applyFont="1" applyFill="1" applyBorder="1" applyAlignment="1">
      <alignment horizontal="right" vertical="center"/>
    </xf>
    <xf numFmtId="0" fontId="11" fillId="10" borderId="11" xfId="0" applyFont="1" applyFill="1" applyBorder="1" applyAlignment="1">
      <alignment horizontal="justify" vertical="center"/>
    </xf>
    <xf numFmtId="43" fontId="11" fillId="10" borderId="11" xfId="2" applyNumberFormat="1" applyFont="1" applyFill="1" applyBorder="1" applyAlignment="1">
      <alignment horizontal="center" vertical="center"/>
    </xf>
    <xf numFmtId="43" fontId="11" fillId="10" borderId="11" xfId="4" applyFont="1" applyFill="1" applyBorder="1" applyAlignment="1">
      <alignment vertical="center"/>
    </xf>
    <xf numFmtId="1" fontId="13" fillId="10" borderId="18" xfId="0" applyNumberFormat="1" applyFont="1" applyFill="1" applyBorder="1" applyAlignment="1">
      <alignment horizontal="justify" vertical="center" wrapText="1"/>
    </xf>
    <xf numFmtId="0" fontId="12" fillId="0" borderId="1" xfId="0" applyFont="1" applyBorder="1" applyAlignment="1">
      <alignment horizontal="justify" vertical="center" wrapText="1"/>
    </xf>
    <xf numFmtId="43" fontId="11" fillId="0" borderId="13" xfId="0" applyNumberFormat="1" applyFont="1" applyBorder="1" applyAlignment="1">
      <alignment horizontal="center" vertical="center"/>
    </xf>
    <xf numFmtId="43" fontId="11" fillId="13" borderId="1" xfId="2" applyNumberFormat="1" applyFont="1" applyFill="1" applyBorder="1" applyAlignment="1">
      <alignment horizontal="justify" vertical="center"/>
    </xf>
    <xf numFmtId="43" fontId="11" fillId="10" borderId="1" xfId="2" applyNumberFormat="1" applyFont="1" applyFill="1" applyBorder="1" applyAlignment="1">
      <alignment horizontal="justify" vertical="center"/>
    </xf>
    <xf numFmtId="0" fontId="9" fillId="9" borderId="1" xfId="0" applyFont="1" applyFill="1" applyBorder="1" applyAlignment="1">
      <alignment horizontal="right" vertical="center"/>
    </xf>
    <xf numFmtId="0" fontId="11" fillId="9" borderId="1" xfId="0" applyFont="1" applyFill="1" applyBorder="1" applyAlignment="1">
      <alignment horizontal="justify" vertical="center"/>
    </xf>
    <xf numFmtId="43" fontId="11" fillId="9" borderId="1" xfId="2" applyNumberFormat="1" applyFont="1" applyFill="1" applyBorder="1" applyAlignment="1">
      <alignment horizontal="justify" vertical="center"/>
    </xf>
    <xf numFmtId="0" fontId="9" fillId="14" borderId="1" xfId="0" applyFont="1" applyFill="1" applyBorder="1" applyAlignment="1">
      <alignment horizontal="right" vertical="center"/>
    </xf>
    <xf numFmtId="43" fontId="11" fillId="14" borderId="1" xfId="2" applyNumberFormat="1" applyFont="1" applyFill="1" applyBorder="1" applyAlignment="1">
      <alignment horizontal="justify" vertical="center"/>
    </xf>
    <xf numFmtId="0" fontId="9" fillId="0" borderId="0" xfId="0" applyFont="1" applyBorder="1" applyAlignment="1">
      <alignment horizontal="right" vertical="center"/>
    </xf>
    <xf numFmtId="0" fontId="11" fillId="0" borderId="0" xfId="0" applyFont="1" applyBorder="1" applyAlignment="1">
      <alignment horizontal="justify" vertical="center"/>
    </xf>
    <xf numFmtId="43" fontId="11" fillId="0" borderId="0" xfId="2" applyNumberFormat="1" applyFont="1" applyBorder="1" applyAlignment="1">
      <alignment horizontal="justify" vertical="center"/>
    </xf>
    <xf numFmtId="43" fontId="11" fillId="2" borderId="0" xfId="2" applyNumberFormat="1" applyFont="1" applyFill="1" applyBorder="1" applyAlignment="1">
      <alignment horizontal="justify" vertical="center"/>
    </xf>
    <xf numFmtId="0" fontId="16" fillId="12" borderId="4" xfId="0" applyFont="1" applyFill="1" applyBorder="1" applyAlignment="1">
      <alignment horizontal="left" vertical="center"/>
    </xf>
    <xf numFmtId="0" fontId="16" fillId="12" borderId="4" xfId="0" applyFont="1" applyFill="1" applyBorder="1" applyAlignment="1">
      <alignment horizontal="center" vertical="center"/>
    </xf>
    <xf numFmtId="43" fontId="13" fillId="12" borderId="9" xfId="0" applyNumberFormat="1" applyFont="1" applyFill="1" applyBorder="1" applyAlignment="1">
      <alignment horizontal="left" vertical="center"/>
    </xf>
    <xf numFmtId="43" fontId="13" fillId="12" borderId="9" xfId="2" applyNumberFormat="1" applyFont="1" applyFill="1" applyBorder="1" applyAlignment="1">
      <alignment horizontal="center" vertical="center"/>
    </xf>
    <xf numFmtId="43" fontId="13" fillId="12" borderId="4" xfId="0" applyNumberFormat="1" applyFont="1" applyFill="1" applyBorder="1" applyAlignment="1">
      <alignment horizontal="left" vertical="center"/>
    </xf>
    <xf numFmtId="0" fontId="13" fillId="9" borderId="1" xfId="0" applyFont="1" applyFill="1" applyBorder="1" applyAlignment="1">
      <alignment horizontal="left" vertical="center" wrapText="1"/>
    </xf>
    <xf numFmtId="0" fontId="13" fillId="9" borderId="18" xfId="0" applyFont="1" applyFill="1" applyBorder="1" applyAlignment="1">
      <alignment vertical="center" wrapText="1"/>
    </xf>
    <xf numFmtId="0" fontId="13" fillId="9" borderId="18" xfId="0" applyFont="1" applyFill="1" applyBorder="1" applyAlignment="1">
      <alignment horizontal="center" vertical="center" wrapText="1"/>
    </xf>
    <xf numFmtId="0" fontId="7" fillId="9" borderId="18" xfId="0" applyFont="1" applyFill="1" applyBorder="1" applyAlignment="1">
      <alignment horizontal="right" vertical="center" wrapText="1"/>
    </xf>
    <xf numFmtId="43" fontId="13" fillId="9" borderId="18" xfId="0" applyNumberFormat="1" applyFont="1" applyFill="1" applyBorder="1" applyAlignment="1">
      <alignment vertical="center" wrapText="1"/>
    </xf>
    <xf numFmtId="43" fontId="13" fillId="9" borderId="18" xfId="2" applyNumberFormat="1" applyFont="1" applyFill="1" applyBorder="1" applyAlignment="1">
      <alignment horizontal="center" vertical="center" wrapText="1"/>
    </xf>
    <xf numFmtId="43" fontId="13" fillId="9" borderId="1" xfId="0" applyNumberFormat="1" applyFont="1" applyFill="1" applyBorder="1" applyAlignment="1">
      <alignment vertical="center" wrapText="1"/>
    </xf>
    <xf numFmtId="0" fontId="13" fillId="0" borderId="1" xfId="0" applyFont="1" applyBorder="1" applyAlignment="1">
      <alignment vertical="center"/>
    </xf>
    <xf numFmtId="0" fontId="13" fillId="10" borderId="18" xfId="0" applyFont="1" applyFill="1" applyBorder="1" applyAlignment="1">
      <alignment vertical="center" wrapText="1"/>
    </xf>
    <xf numFmtId="0" fontId="7" fillId="10" borderId="18" xfId="0" applyFont="1" applyFill="1" applyBorder="1" applyAlignment="1">
      <alignment horizontal="right" vertical="center" wrapText="1"/>
    </xf>
    <xf numFmtId="43" fontId="13" fillId="10" borderId="18" xfId="0" applyNumberFormat="1" applyFont="1" applyFill="1" applyBorder="1" applyAlignment="1">
      <alignment vertical="center" wrapText="1"/>
    </xf>
    <xf numFmtId="43" fontId="13" fillId="10" borderId="18" xfId="2" applyNumberFormat="1" applyFont="1" applyFill="1" applyBorder="1" applyAlignment="1">
      <alignment horizontal="center" vertical="center" wrapText="1"/>
    </xf>
    <xf numFmtId="43" fontId="13" fillId="10" borderId="1" xfId="0" applyNumberFormat="1" applyFont="1" applyFill="1" applyBorder="1" applyAlignment="1">
      <alignment vertical="center" wrapText="1"/>
    </xf>
    <xf numFmtId="0" fontId="13" fillId="0" borderId="1" xfId="0" applyFont="1" applyFill="1" applyBorder="1" applyAlignment="1">
      <alignment vertical="center" wrapText="1"/>
    </xf>
    <xf numFmtId="169" fontId="11" fillId="0" borderId="1" xfId="0" applyNumberFormat="1" applyFont="1" applyFill="1" applyBorder="1" applyAlignment="1">
      <alignment horizontal="justify" vertical="center" wrapText="1"/>
    </xf>
    <xf numFmtId="43" fontId="11" fillId="0" borderId="5" xfId="2" applyNumberFormat="1" applyFont="1" applyFill="1" applyBorder="1" applyAlignment="1">
      <alignment horizontal="center" vertical="center"/>
    </xf>
    <xf numFmtId="43" fontId="17" fillId="0" borderId="5" xfId="2" applyNumberFormat="1" applyFont="1" applyFill="1" applyBorder="1" applyAlignment="1">
      <alignment horizontal="center" vertical="center" wrapText="1"/>
    </xf>
    <xf numFmtId="0" fontId="11" fillId="13" borderId="13" xfId="0" applyFont="1" applyFill="1" applyBorder="1" applyAlignment="1">
      <alignment vertical="center"/>
    </xf>
    <xf numFmtId="0" fontId="11" fillId="13" borderId="18" xfId="0" applyFont="1" applyFill="1" applyBorder="1" applyAlignment="1">
      <alignment vertical="center"/>
    </xf>
    <xf numFmtId="0" fontId="9" fillId="13" borderId="18" xfId="0" applyFont="1" applyFill="1" applyBorder="1" applyAlignment="1">
      <alignment horizontal="right" vertical="center"/>
    </xf>
    <xf numFmtId="43" fontId="11" fillId="13" borderId="18" xfId="0" applyNumberFormat="1" applyFont="1" applyFill="1" applyBorder="1" applyAlignment="1">
      <alignment vertical="center"/>
    </xf>
    <xf numFmtId="43" fontId="11" fillId="13" borderId="18" xfId="2" applyNumberFormat="1" applyFont="1" applyFill="1" applyBorder="1" applyAlignment="1">
      <alignment horizontal="center" vertical="center"/>
    </xf>
    <xf numFmtId="43" fontId="11" fillId="13" borderId="1" xfId="0" applyNumberFormat="1" applyFont="1" applyFill="1" applyBorder="1" applyAlignment="1">
      <alignment vertical="center"/>
    </xf>
    <xf numFmtId="0" fontId="13" fillId="0" borderId="3" xfId="0" applyFont="1" applyBorder="1" applyAlignment="1">
      <alignment horizontal="justify" vertical="center" wrapText="1"/>
    </xf>
    <xf numFmtId="0" fontId="13" fillId="0" borderId="13" xfId="0" applyFont="1" applyBorder="1" applyAlignment="1">
      <alignment vertical="center"/>
    </xf>
    <xf numFmtId="0" fontId="13" fillId="0" borderId="6" xfId="0" applyFont="1" applyBorder="1" applyAlignment="1">
      <alignment vertical="center"/>
    </xf>
    <xf numFmtId="0" fontId="7" fillId="0" borderId="6" xfId="0" applyFont="1" applyBorder="1" applyAlignment="1">
      <alignment horizontal="right" vertical="center"/>
    </xf>
    <xf numFmtId="43" fontId="13" fillId="0" borderId="18" xfId="0" applyNumberFormat="1" applyFont="1" applyBorder="1" applyAlignment="1">
      <alignment vertical="center"/>
    </xf>
    <xf numFmtId="43" fontId="13" fillId="0" borderId="18" xfId="2" applyNumberFormat="1" applyFont="1" applyBorder="1" applyAlignment="1">
      <alignment horizontal="center" vertical="center"/>
    </xf>
    <xf numFmtId="43" fontId="13" fillId="0" borderId="13" xfId="2" applyNumberFormat="1" applyFont="1" applyBorder="1" applyAlignment="1">
      <alignment horizontal="center" vertical="center"/>
    </xf>
    <xf numFmtId="0" fontId="13" fillId="13" borderId="14" xfId="0" applyFont="1" applyFill="1" applyBorder="1" applyAlignment="1">
      <alignment horizontal="justify" vertical="center" wrapText="1"/>
    </xf>
    <xf numFmtId="0" fontId="7" fillId="13" borderId="6" xfId="0" applyFont="1" applyFill="1" applyBorder="1" applyAlignment="1">
      <alignment horizontal="right" vertical="center"/>
    </xf>
    <xf numFmtId="43" fontId="13" fillId="13" borderId="13" xfId="2" applyNumberFormat="1" applyFont="1" applyFill="1" applyBorder="1" applyAlignment="1">
      <alignment horizontal="center" vertical="center"/>
    </xf>
    <xf numFmtId="0" fontId="11" fillId="0" borderId="1" xfId="0" applyFont="1" applyFill="1" applyBorder="1" applyAlignment="1">
      <alignment vertical="center"/>
    </xf>
    <xf numFmtId="166" fontId="23" fillId="0" borderId="1" xfId="0" applyNumberFormat="1" applyFont="1" applyFill="1" applyBorder="1" applyAlignment="1">
      <alignment vertical="center"/>
    </xf>
    <xf numFmtId="43" fontId="17" fillId="0" borderId="13" xfId="2" applyNumberFormat="1" applyFont="1" applyFill="1" applyBorder="1" applyAlignment="1">
      <alignment horizontal="center" vertical="center" wrapText="1"/>
    </xf>
    <xf numFmtId="43" fontId="17" fillId="0" borderId="13" xfId="4" applyFont="1" applyFill="1" applyBorder="1" applyAlignment="1">
      <alignment horizontal="justify" vertical="center"/>
    </xf>
    <xf numFmtId="43" fontId="11" fillId="0" borderId="5" xfId="2" applyNumberFormat="1" applyFont="1" applyFill="1" applyBorder="1" applyAlignment="1">
      <alignment horizontal="center" vertical="center" wrapText="1"/>
    </xf>
    <xf numFmtId="0" fontId="11" fillId="14" borderId="14" xfId="0" applyFont="1" applyFill="1" applyBorder="1" applyAlignment="1">
      <alignment horizontal="justify" vertical="center" wrapText="1"/>
    </xf>
    <xf numFmtId="0" fontId="11" fillId="2" borderId="0" xfId="0" applyFont="1" applyFill="1" applyBorder="1" applyAlignment="1">
      <alignment horizontal="justify" vertical="center" wrapText="1"/>
    </xf>
    <xf numFmtId="0" fontId="11" fillId="2" borderId="0" xfId="0" applyFont="1" applyFill="1" applyBorder="1" applyAlignment="1">
      <alignment horizontal="center" vertical="center" wrapText="1"/>
    </xf>
    <xf numFmtId="0" fontId="9" fillId="2" borderId="0" xfId="0" applyFont="1" applyFill="1" applyBorder="1" applyAlignment="1">
      <alignment horizontal="right" vertical="center" wrapText="1"/>
    </xf>
    <xf numFmtId="43" fontId="11" fillId="2" borderId="0" xfId="2" applyNumberFormat="1" applyFont="1" applyFill="1" applyBorder="1" applyAlignment="1">
      <alignment horizontal="center" vertical="center"/>
    </xf>
    <xf numFmtId="0" fontId="16" fillId="12" borderId="1" xfId="0" applyFont="1" applyFill="1" applyBorder="1" applyAlignment="1">
      <alignment horizontal="left" vertical="center"/>
    </xf>
    <xf numFmtId="0" fontId="16" fillId="12" borderId="1" xfId="0" applyFont="1" applyFill="1" applyBorder="1" applyAlignment="1">
      <alignment horizontal="center" vertical="center"/>
    </xf>
    <xf numFmtId="0" fontId="13" fillId="9" borderId="1" xfId="0" applyFont="1" applyFill="1" applyBorder="1" applyAlignment="1">
      <alignment vertical="center"/>
    </xf>
    <xf numFmtId="0" fontId="13" fillId="9" borderId="1" xfId="0" applyFont="1" applyFill="1" applyBorder="1" applyAlignment="1">
      <alignment horizontal="center" vertical="center"/>
    </xf>
    <xf numFmtId="0" fontId="13" fillId="10" borderId="1" xfId="0" applyFont="1" applyFill="1" applyBorder="1" applyAlignment="1">
      <alignment horizontal="left" vertical="center"/>
    </xf>
    <xf numFmtId="0" fontId="13" fillId="10" borderId="1" xfId="0" applyFont="1" applyFill="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1" fillId="18" borderId="1" xfId="0" applyFont="1" applyFill="1" applyBorder="1" applyAlignment="1">
      <alignment horizontal="justify" vertical="center" wrapText="1"/>
    </xf>
    <xf numFmtId="0" fontId="11" fillId="18" borderId="1" xfId="0" applyFont="1" applyFill="1" applyBorder="1" applyAlignment="1">
      <alignment horizontal="center" vertical="center" wrapText="1"/>
    </xf>
    <xf numFmtId="0" fontId="11" fillId="18" borderId="14" xfId="0" applyFont="1" applyFill="1" applyBorder="1" applyAlignment="1">
      <alignment horizontal="justify" vertical="center" wrapText="1"/>
    </xf>
    <xf numFmtId="0" fontId="11" fillId="18" borderId="1" xfId="0" applyFont="1" applyFill="1" applyBorder="1" applyAlignment="1">
      <alignment horizontal="center" vertical="center"/>
    </xf>
    <xf numFmtId="0" fontId="9" fillId="18" borderId="1" xfId="0" applyFont="1" applyFill="1" applyBorder="1" applyAlignment="1">
      <alignment horizontal="right" vertical="center" wrapText="1"/>
    </xf>
    <xf numFmtId="43" fontId="11" fillId="18" borderId="1" xfId="4" applyFont="1" applyFill="1" applyBorder="1" applyAlignment="1">
      <alignment horizontal="justify" vertical="center"/>
    </xf>
    <xf numFmtId="0" fontId="24" fillId="19" borderId="18" xfId="0" applyFont="1" applyFill="1" applyBorder="1" applyAlignment="1">
      <alignment horizontal="justify" vertical="center"/>
    </xf>
    <xf numFmtId="0" fontId="24" fillId="19" borderId="18" xfId="0" applyFont="1" applyFill="1" applyBorder="1" applyAlignment="1">
      <alignment horizontal="center" vertical="center"/>
    </xf>
    <xf numFmtId="0" fontId="7" fillId="19" borderId="18" xfId="0" applyFont="1" applyFill="1" applyBorder="1" applyAlignment="1">
      <alignment horizontal="right" vertical="center" wrapText="1"/>
    </xf>
    <xf numFmtId="0" fontId="24" fillId="19" borderId="18" xfId="0" applyFont="1" applyFill="1" applyBorder="1" applyAlignment="1">
      <alignment horizontal="justify" vertical="center" wrapText="1"/>
    </xf>
    <xf numFmtId="0" fontId="24" fillId="19" borderId="14" xfId="0" applyFont="1" applyFill="1" applyBorder="1" applyAlignment="1">
      <alignment horizontal="center" vertical="center" wrapText="1"/>
    </xf>
    <xf numFmtId="43" fontId="13" fillId="19" borderId="1" xfId="4" applyFont="1" applyFill="1" applyBorder="1" applyAlignment="1">
      <alignment vertical="center"/>
    </xf>
    <xf numFmtId="0" fontId="24" fillId="0" borderId="0" xfId="0" applyFont="1" applyFill="1" applyBorder="1"/>
    <xf numFmtId="4" fontId="24" fillId="0" borderId="0" xfId="0" applyNumberFormat="1" applyFont="1" applyFill="1"/>
    <xf numFmtId="4" fontId="24" fillId="0" borderId="0" xfId="0" applyNumberFormat="1" applyFont="1" applyFill="1" applyAlignment="1">
      <alignment horizontal="center"/>
    </xf>
    <xf numFmtId="4" fontId="6" fillId="0" borderId="0" xfId="0" applyNumberFormat="1" applyFont="1" applyFill="1"/>
    <xf numFmtId="4" fontId="7" fillId="0" borderId="0" xfId="0" applyNumberFormat="1" applyFont="1" applyFill="1" applyAlignment="1">
      <alignment horizontal="right"/>
    </xf>
    <xf numFmtId="4" fontId="13" fillId="0" borderId="0" xfId="0" applyNumberFormat="1" applyFont="1" applyFill="1"/>
    <xf numFmtId="4" fontId="13" fillId="0" borderId="0" xfId="2" applyNumberFormat="1" applyFont="1" applyFill="1" applyAlignment="1">
      <alignment horizontal="center"/>
    </xf>
    <xf numFmtId="4" fontId="13" fillId="0" borderId="6" xfId="0" applyNumberFormat="1" applyFont="1" applyFill="1" applyBorder="1"/>
    <xf numFmtId="43" fontId="24" fillId="0" borderId="6" xfId="0" applyNumberFormat="1" applyFont="1" applyFill="1" applyBorder="1" applyAlignment="1">
      <alignment vertical="center"/>
    </xf>
    <xf numFmtId="4" fontId="24" fillId="0" borderId="0" xfId="0" applyNumberFormat="1" applyFont="1" applyFill="1" applyBorder="1"/>
    <xf numFmtId="0" fontId="2" fillId="2" borderId="0" xfId="0" applyFont="1" applyFill="1"/>
    <xf numFmtId="0" fontId="2" fillId="2" borderId="0" xfId="0" applyFont="1" applyFill="1" applyAlignment="1">
      <alignment horizontal="center"/>
    </xf>
    <xf numFmtId="0" fontId="10" fillId="2" borderId="0" xfId="0" applyFont="1" applyFill="1" applyAlignment="1">
      <alignment horizontal="right"/>
    </xf>
    <xf numFmtId="43" fontId="19" fillId="2" borderId="0" xfId="0" applyNumberFormat="1" applyFont="1" applyFill="1"/>
    <xf numFmtId="43" fontId="10" fillId="2" borderId="0" xfId="0" applyNumberFormat="1" applyFont="1" applyFill="1"/>
    <xf numFmtId="43" fontId="19" fillId="2" borderId="0" xfId="0" applyNumberFormat="1" applyFont="1" applyFill="1" applyBorder="1"/>
    <xf numFmtId="0" fontId="2" fillId="0" borderId="0" xfId="0" applyFont="1" applyFill="1" applyBorder="1"/>
    <xf numFmtId="0" fontId="12" fillId="2" borderId="0" xfId="0" applyFont="1" applyFill="1"/>
    <xf numFmtId="0" fontId="12" fillId="2" borderId="0" xfId="0" applyFont="1" applyFill="1" applyAlignment="1">
      <alignment horizontal="center"/>
    </xf>
    <xf numFmtId="0" fontId="9" fillId="2" borderId="0" xfId="0" applyFont="1" applyFill="1" applyAlignment="1">
      <alignment horizontal="right"/>
    </xf>
    <xf numFmtId="0" fontId="11" fillId="2" borderId="0" xfId="0" applyFont="1" applyFill="1"/>
    <xf numFmtId="3" fontId="3" fillId="0" borderId="0" xfId="0" applyNumberFormat="1" applyFont="1"/>
    <xf numFmtId="171" fontId="11" fillId="2" borderId="0" xfId="2" applyNumberFormat="1" applyFont="1" applyFill="1" applyAlignment="1">
      <alignment horizontal="center"/>
    </xf>
    <xf numFmtId="166" fontId="12" fillId="2" borderId="0" xfId="0" applyNumberFormat="1" applyFont="1" applyFill="1"/>
    <xf numFmtId="43" fontId="11" fillId="2" borderId="0" xfId="0" applyNumberFormat="1" applyFont="1" applyFill="1"/>
    <xf numFmtId="43" fontId="12" fillId="2" borderId="0" xfId="0" applyNumberFormat="1" applyFont="1" applyFill="1"/>
    <xf numFmtId="4" fontId="11" fillId="2" borderId="0" xfId="0" applyNumberFormat="1" applyFont="1" applyFill="1"/>
    <xf numFmtId="171" fontId="9" fillId="0" borderId="0" xfId="2" applyNumberFormat="1" applyFont="1" applyFill="1" applyAlignment="1">
      <alignment horizontal="center"/>
    </xf>
    <xf numFmtId="0" fontId="12" fillId="0" borderId="0" xfId="0" applyFont="1"/>
    <xf numFmtId="0" fontId="12" fillId="0" borderId="0" xfId="0" applyFont="1" applyAlignment="1">
      <alignment horizontal="center"/>
    </xf>
    <xf numFmtId="0" fontId="9" fillId="0" borderId="0" xfId="0" applyFont="1" applyAlignment="1">
      <alignment horizontal="right"/>
    </xf>
    <xf numFmtId="0" fontId="11" fillId="0" borderId="0" xfId="0" applyFont="1"/>
    <xf numFmtId="171" fontId="11" fillId="0" borderId="0" xfId="2" applyNumberFormat="1" applyFont="1" applyAlignment="1">
      <alignment horizontal="center"/>
    </xf>
    <xf numFmtId="0" fontId="11" fillId="20" borderId="0" xfId="0" applyFont="1" applyFill="1"/>
    <xf numFmtId="0" fontId="7" fillId="3" borderId="11" xfId="0" applyFont="1" applyFill="1" applyBorder="1" applyAlignment="1" applyProtection="1">
      <alignment horizontal="center" vertical="center" wrapText="1"/>
      <protection locked="0"/>
    </xf>
    <xf numFmtId="0" fontId="9" fillId="0" borderId="0" xfId="0" applyFont="1" applyAlignment="1" applyProtection="1">
      <alignment horizontal="center"/>
      <protection locked="0"/>
    </xf>
    <xf numFmtId="0" fontId="7" fillId="3" borderId="1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3" fontId="7" fillId="3" borderId="4" xfId="0" applyNumberFormat="1" applyFont="1" applyFill="1" applyBorder="1" applyAlignment="1" applyProtection="1">
      <alignment horizontal="center" vertical="center" wrapText="1"/>
      <protection locked="0"/>
    </xf>
    <xf numFmtId="0" fontId="17" fillId="2" borderId="0" xfId="0" applyFont="1" applyFill="1"/>
    <xf numFmtId="0" fontId="17" fillId="0" borderId="0" xfId="0" applyFont="1"/>
    <xf numFmtId="0" fontId="15" fillId="4" borderId="18" xfId="0" applyFont="1" applyFill="1" applyBorder="1" applyAlignment="1">
      <alignment vertical="center"/>
    </xf>
    <xf numFmtId="0" fontId="15" fillId="4" borderId="18" xfId="0" applyFont="1" applyFill="1" applyBorder="1" applyAlignment="1">
      <alignment horizontal="justify" vertical="center"/>
    </xf>
    <xf numFmtId="0" fontId="15" fillId="4" borderId="18" xfId="0" applyFont="1" applyFill="1" applyBorder="1" applyAlignment="1">
      <alignment horizontal="center" vertical="center"/>
    </xf>
    <xf numFmtId="178" fontId="15" fillId="4" borderId="18" xfId="0" applyNumberFormat="1" applyFont="1" applyFill="1" applyBorder="1" applyAlignment="1">
      <alignment horizontal="center" vertical="center"/>
    </xf>
    <xf numFmtId="173" fontId="15" fillId="4" borderId="18" xfId="0" applyNumberFormat="1" applyFont="1" applyFill="1" applyBorder="1" applyAlignment="1">
      <alignment vertical="center"/>
    </xf>
    <xf numFmtId="1" fontId="15" fillId="4" borderId="18" xfId="0" applyNumberFormat="1" applyFont="1" applyFill="1" applyBorder="1" applyAlignment="1">
      <alignment horizontal="center" vertical="center"/>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 fontId="15" fillId="23" borderId="8" xfId="0" applyNumberFormat="1" applyFont="1" applyFill="1" applyBorder="1" applyAlignment="1">
      <alignment horizontal="center" vertical="center"/>
    </xf>
    <xf numFmtId="0" fontId="15" fillId="23" borderId="9" xfId="0" applyFont="1" applyFill="1" applyBorder="1" applyAlignment="1">
      <alignment vertical="center"/>
    </xf>
    <xf numFmtId="0" fontId="15" fillId="23" borderId="9" xfId="0" applyFont="1" applyFill="1" applyBorder="1" applyAlignment="1">
      <alignment horizontal="justify" vertical="center"/>
    </xf>
    <xf numFmtId="0" fontId="15" fillId="23" borderId="9" xfId="0" applyFont="1" applyFill="1" applyBorder="1" applyAlignment="1">
      <alignment horizontal="center" vertical="center"/>
    </xf>
    <xf numFmtId="178" fontId="15" fillId="23" borderId="9" xfId="0" applyNumberFormat="1" applyFont="1" applyFill="1" applyBorder="1" applyAlignment="1">
      <alignment horizontal="center" vertical="center"/>
    </xf>
    <xf numFmtId="173" fontId="15" fillId="23" borderId="9" xfId="0" applyNumberFormat="1" applyFont="1" applyFill="1" applyBorder="1" applyAlignment="1">
      <alignment vertical="center"/>
    </xf>
    <xf numFmtId="173" fontId="15" fillId="23" borderId="9" xfId="0" applyNumberFormat="1" applyFont="1" applyFill="1" applyBorder="1" applyAlignment="1">
      <alignment horizontal="center" vertical="center"/>
    </xf>
    <xf numFmtId="1" fontId="15" fillId="23" borderId="9" xfId="0" applyNumberFormat="1" applyFont="1" applyFill="1" applyBorder="1" applyAlignment="1">
      <alignment horizontal="center" vertical="center"/>
    </xf>
    <xf numFmtId="0" fontId="17" fillId="2" borderId="0" xfId="0" applyFont="1" applyFill="1" applyAlignment="1">
      <alignment vertical="center" wrapText="1"/>
    </xf>
    <xf numFmtId="0" fontId="17" fillId="2" borderId="3"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0" xfId="0" applyFont="1" applyFill="1" applyAlignment="1">
      <alignment horizontal="center" vertical="center" wrapText="1"/>
    </xf>
    <xf numFmtId="1" fontId="15" fillId="24" borderId="13" xfId="0" applyNumberFormat="1" applyFont="1" applyFill="1" applyBorder="1" applyAlignment="1">
      <alignment horizontal="left" vertical="center" wrapText="1" indent="1"/>
    </xf>
    <xf numFmtId="0" fontId="15" fillId="24" borderId="18" xfId="0" applyFont="1" applyFill="1" applyBorder="1" applyAlignment="1">
      <alignment vertical="center"/>
    </xf>
    <xf numFmtId="0" fontId="15" fillId="24" borderId="18" xfId="0" applyFont="1" applyFill="1" applyBorder="1" applyAlignment="1">
      <alignment horizontal="justify" vertical="center"/>
    </xf>
    <xf numFmtId="0" fontId="15" fillId="24" borderId="18" xfId="0" applyFont="1" applyFill="1" applyBorder="1" applyAlignment="1">
      <alignment horizontal="center" vertical="center"/>
    </xf>
    <xf numFmtId="178" fontId="15" fillId="24" borderId="18" xfId="0" applyNumberFormat="1" applyFont="1" applyFill="1" applyBorder="1" applyAlignment="1">
      <alignment horizontal="center" vertical="center"/>
    </xf>
    <xf numFmtId="173" fontId="15" fillId="24" borderId="18" xfId="0" applyNumberFormat="1" applyFont="1" applyFill="1" applyBorder="1" applyAlignment="1">
      <alignment vertical="center"/>
    </xf>
    <xf numFmtId="173" fontId="15" fillId="24" borderId="18" xfId="0" applyNumberFormat="1" applyFont="1" applyFill="1" applyBorder="1" applyAlignment="1">
      <alignment horizontal="center" vertical="center"/>
    </xf>
    <xf numFmtId="1" fontId="15" fillId="24" borderId="18" xfId="0" applyNumberFormat="1" applyFont="1" applyFill="1" applyBorder="1" applyAlignment="1">
      <alignment horizontal="center" vertical="center"/>
    </xf>
    <xf numFmtId="179" fontId="11" fillId="0" borderId="1" xfId="6" applyNumberFormat="1" applyFont="1" applyFill="1" applyBorder="1" applyAlignment="1">
      <alignment vertical="center"/>
    </xf>
    <xf numFmtId="0" fontId="17" fillId="0" borderId="1" xfId="0" applyFont="1" applyBorder="1" applyAlignment="1">
      <alignment horizontal="center" vertical="center"/>
    </xf>
    <xf numFmtId="173" fontId="11" fillId="0" borderId="1" xfId="0" applyNumberFormat="1" applyFont="1" applyBorder="1" applyAlignment="1">
      <alignment vertical="center" wrapText="1"/>
    </xf>
    <xf numFmtId="1" fontId="17" fillId="0" borderId="1" xfId="0" applyNumberFormat="1"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0" xfId="0" applyFont="1" applyFill="1" applyAlignment="1">
      <alignment horizontal="center" vertical="center" wrapText="1"/>
    </xf>
    <xf numFmtId="9" fontId="17" fillId="2" borderId="1" xfId="0" applyNumberFormat="1"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173" fontId="17" fillId="2" borderId="0" xfId="0" applyNumberFormat="1" applyFont="1" applyFill="1" applyAlignment="1">
      <alignment horizontal="center" vertical="center"/>
    </xf>
    <xf numFmtId="1" fontId="17" fillId="0" borderId="0" xfId="0" applyNumberFormat="1" applyFont="1"/>
    <xf numFmtId="1" fontId="17" fillId="2" borderId="0" xfId="0" applyNumberFormat="1" applyFont="1" applyFill="1" applyAlignment="1">
      <alignment horizontal="center" vertical="center"/>
    </xf>
    <xf numFmtId="0" fontId="17" fillId="2" borderId="0" xfId="0" applyFont="1" applyFill="1" applyAlignment="1">
      <alignment horizontal="center" vertical="center"/>
    </xf>
    <xf numFmtId="174" fontId="17" fillId="0" borderId="0" xfId="0" applyNumberFormat="1" applyFont="1" applyAlignment="1">
      <alignment horizontal="right" vertical="center"/>
    </xf>
    <xf numFmtId="174" fontId="17" fillId="0" borderId="0" xfId="0" applyNumberFormat="1" applyFont="1" applyAlignment="1">
      <alignment horizontal="center"/>
    </xf>
    <xf numFmtId="0" fontId="17" fillId="2" borderId="0" xfId="0" applyFont="1" applyFill="1" applyAlignment="1">
      <alignment horizontal="justify" vertical="center"/>
    </xf>
    <xf numFmtId="0" fontId="17" fillId="2" borderId="0" xfId="0" applyFont="1" applyFill="1" applyAlignment="1">
      <alignment horizontal="center"/>
    </xf>
    <xf numFmtId="178" fontId="17" fillId="2" borderId="0" xfId="0" applyNumberFormat="1" applyFont="1" applyFill="1" applyAlignment="1">
      <alignment horizontal="center" vertical="center"/>
    </xf>
    <xf numFmtId="173" fontId="17" fillId="2" borderId="0" xfId="0" applyNumberFormat="1" applyFont="1" applyFill="1" applyAlignment="1">
      <alignment vertical="center"/>
    </xf>
    <xf numFmtId="0" fontId="7" fillId="2" borderId="1" xfId="0" applyFont="1" applyFill="1" applyBorder="1" applyAlignment="1">
      <alignment horizontal="center" vertical="center"/>
    </xf>
    <xf numFmtId="0" fontId="8" fillId="0" borderId="0" xfId="0" applyFont="1"/>
    <xf numFmtId="0" fontId="9" fillId="2" borderId="1" xfId="0" applyFont="1" applyFill="1" applyBorder="1" applyAlignment="1">
      <alignment horizontal="justify" vertical="center"/>
    </xf>
    <xf numFmtId="0" fontId="9" fillId="2" borderId="4" xfId="0" applyFont="1" applyFill="1" applyBorder="1" applyAlignment="1">
      <alignment horizontal="justify" vertical="center"/>
    </xf>
    <xf numFmtId="0" fontId="7" fillId="0" borderId="8" xfId="0" applyFont="1" applyBorder="1" applyAlignment="1">
      <alignment vertical="center"/>
    </xf>
    <xf numFmtId="0" fontId="7" fillId="0" borderId="9" xfId="0" applyFont="1" applyBorder="1" applyAlignment="1">
      <alignment vertical="center"/>
    </xf>
    <xf numFmtId="4" fontId="7" fillId="0" borderId="9" xfId="0" applyNumberFormat="1" applyFont="1" applyBorder="1" applyAlignment="1">
      <alignment horizontal="left" vertical="center"/>
    </xf>
    <xf numFmtId="0" fontId="7" fillId="0" borderId="9" xfId="0" applyFont="1" applyBorder="1" applyAlignment="1">
      <alignment horizontal="justify" vertical="center"/>
    </xf>
    <xf numFmtId="0" fontId="7" fillId="0" borderId="10" xfId="0" applyFont="1" applyBorder="1" applyAlignment="1">
      <alignment vertical="center"/>
    </xf>
    <xf numFmtId="0" fontId="8" fillId="2" borderId="12" xfId="0" applyFont="1" applyFill="1" applyBorder="1" applyAlignment="1">
      <alignment vertical="center" wrapText="1"/>
    </xf>
    <xf numFmtId="43" fontId="8" fillId="2" borderId="11" xfId="9" applyNumberFormat="1" applyFont="1" applyFill="1" applyBorder="1" applyAlignment="1">
      <alignmen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43" fontId="27" fillId="0" borderId="13" xfId="9" applyFont="1" applyFill="1" applyBorder="1" applyAlignment="1">
      <alignment horizontal="center" vertical="center" wrapText="1"/>
    </xf>
    <xf numFmtId="43" fontId="9" fillId="0" borderId="1" xfId="9" applyFont="1" applyFill="1" applyBorder="1" applyAlignment="1">
      <alignment horizontal="right" vertical="center" wrapText="1"/>
    </xf>
    <xf numFmtId="43" fontId="9" fillId="0" borderId="1" xfId="9" applyFont="1" applyFill="1" applyBorder="1" applyAlignment="1" applyProtection="1">
      <alignment horizontal="right" vertical="center" wrapText="1"/>
      <protection locked="0"/>
    </xf>
    <xf numFmtId="9" fontId="9" fillId="2" borderId="4" xfId="1" applyNumberFormat="1" applyFont="1" applyFill="1" applyBorder="1" applyAlignment="1">
      <alignment horizontal="center" vertical="center"/>
    </xf>
    <xf numFmtId="0" fontId="8" fillId="0" borderId="0" xfId="0" applyFont="1" applyFill="1"/>
    <xf numFmtId="0" fontId="8" fillId="0" borderId="12" xfId="0" applyFont="1" applyFill="1" applyBorder="1"/>
    <xf numFmtId="43" fontId="8" fillId="0" borderId="12" xfId="0" applyNumberFormat="1" applyFont="1" applyFill="1" applyBorder="1"/>
    <xf numFmtId="0" fontId="8" fillId="0" borderId="1" xfId="0" applyFont="1" applyFill="1" applyBorder="1" applyAlignment="1">
      <alignment horizontal="center" vertical="center"/>
    </xf>
    <xf numFmtId="43" fontId="9" fillId="0" borderId="1" xfId="9" applyFont="1" applyFill="1" applyBorder="1" applyAlignment="1">
      <alignment horizontal="center" vertical="center"/>
    </xf>
    <xf numFmtId="0" fontId="8" fillId="2" borderId="12" xfId="0" applyFont="1" applyFill="1" applyBorder="1" applyAlignment="1">
      <alignment horizontal="center" vertical="center" wrapText="1"/>
    </xf>
    <xf numFmtId="43" fontId="8" fillId="2" borderId="12" xfId="9" applyNumberFormat="1" applyFont="1" applyFill="1" applyBorder="1" applyAlignment="1">
      <alignment vertical="center" wrapText="1"/>
    </xf>
    <xf numFmtId="43" fontId="8" fillId="0" borderId="12" xfId="9" applyNumberFormat="1" applyFont="1" applyFill="1" applyBorder="1" applyAlignment="1">
      <alignment vertical="center" wrapText="1"/>
    </xf>
    <xf numFmtId="0" fontId="8" fillId="2" borderId="14" xfId="0" applyFont="1" applyFill="1" applyBorder="1" applyAlignment="1">
      <alignment horizontal="center" vertical="center" wrapText="1"/>
    </xf>
    <xf numFmtId="0" fontId="26" fillId="25" borderId="11" xfId="0" applyFont="1" applyFill="1" applyBorder="1" applyAlignment="1">
      <alignment horizontal="center" vertical="center" wrapText="1"/>
    </xf>
    <xf numFmtId="0" fontId="26" fillId="25" borderId="11" xfId="0" applyFont="1" applyFill="1" applyBorder="1" applyAlignment="1">
      <alignment horizontal="justify" vertical="center" wrapText="1"/>
    </xf>
    <xf numFmtId="0" fontId="26" fillId="0"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1" fontId="8" fillId="2" borderId="4" xfId="0" applyNumberFormat="1" applyFont="1" applyFill="1" applyBorder="1" applyAlignment="1">
      <alignment horizontal="center" vertical="center" wrapText="1"/>
    </xf>
    <xf numFmtId="43" fontId="23" fillId="0" borderId="1" xfId="9" applyFont="1" applyBorder="1" applyAlignment="1">
      <alignment horizontal="center" vertical="center"/>
    </xf>
    <xf numFmtId="0" fontId="26" fillId="0" borderId="1" xfId="9" applyNumberFormat="1" applyFont="1" applyFill="1" applyBorder="1" applyAlignment="1">
      <alignment horizontal="center" vertical="center" wrapText="1"/>
    </xf>
    <xf numFmtId="43" fontId="9" fillId="0" borderId="13" xfId="9" applyFont="1" applyBorder="1" applyAlignment="1">
      <alignment horizontal="center" vertical="center"/>
    </xf>
    <xf numFmtId="0" fontId="8" fillId="2" borderId="4" xfId="0" applyFont="1" applyFill="1" applyBorder="1" applyAlignment="1">
      <alignment horizontal="center" vertical="center" wrapText="1"/>
    </xf>
    <xf numFmtId="0" fontId="26" fillId="25" borderId="1" xfId="9" applyNumberFormat="1" applyFont="1" applyFill="1" applyBorder="1" applyAlignment="1">
      <alignment horizontal="center" vertical="center" wrapText="1"/>
    </xf>
    <xf numFmtId="43" fontId="27" fillId="0" borderId="13" xfId="9" applyFont="1" applyBorder="1" applyAlignment="1">
      <alignment horizontal="center" vertical="center" wrapText="1"/>
    </xf>
    <xf numFmtId="43" fontId="8" fillId="0" borderId="11" xfId="9" applyFont="1" applyBorder="1" applyAlignment="1">
      <alignment vertical="center"/>
    </xf>
    <xf numFmtId="0" fontId="26" fillId="25" borderId="12" xfId="0" applyFont="1" applyFill="1" applyBorder="1" applyAlignment="1">
      <alignment horizontal="center" vertical="center" wrapText="1"/>
    </xf>
    <xf numFmtId="43" fontId="8" fillId="0" borderId="3" xfId="9" applyFont="1" applyBorder="1" applyAlignment="1">
      <alignment vertical="center"/>
    </xf>
    <xf numFmtId="43" fontId="9" fillId="0" borderId="1" xfId="9" applyFont="1" applyFill="1" applyBorder="1" applyAlignment="1">
      <alignment horizontal="center" vertical="center" wrapText="1"/>
    </xf>
    <xf numFmtId="0" fontId="8" fillId="0" borderId="11" xfId="0" applyFont="1" applyFill="1" applyBorder="1"/>
    <xf numFmtId="0" fontId="8" fillId="2" borderId="11" xfId="0" applyFont="1" applyFill="1" applyBorder="1" applyAlignment="1">
      <alignment horizontal="center" vertical="center" wrapText="1"/>
    </xf>
    <xf numFmtId="43" fontId="9" fillId="25" borderId="1" xfId="9" applyFont="1" applyFill="1" applyBorder="1" applyAlignment="1" applyProtection="1">
      <alignment horizontal="right" vertical="center" wrapText="1"/>
      <protection locked="0"/>
    </xf>
    <xf numFmtId="0" fontId="8" fillId="0" borderId="12" xfId="0" applyFont="1" applyBorder="1" applyAlignment="1">
      <alignment horizontal="center" vertical="center" wrapText="1"/>
    </xf>
    <xf numFmtId="43" fontId="8" fillId="0" borderId="12" xfId="9" applyFont="1" applyBorder="1" applyAlignment="1">
      <alignment vertical="center"/>
    </xf>
    <xf numFmtId="43" fontId="9" fillId="0" borderId="13" xfId="9"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8" fillId="0" borderId="4" xfId="0" applyFont="1" applyBorder="1"/>
    <xf numFmtId="43" fontId="8" fillId="0" borderId="4" xfId="9" applyFont="1" applyBorder="1"/>
    <xf numFmtId="0" fontId="8" fillId="0" borderId="11" xfId="0" applyFont="1" applyBorder="1" applyAlignment="1">
      <alignment horizontal="center" vertical="center"/>
    </xf>
    <xf numFmtId="0" fontId="26" fillId="25" borderId="11" xfId="0" applyFont="1" applyFill="1" applyBorder="1" applyAlignment="1">
      <alignment vertical="center" wrapText="1"/>
    </xf>
    <xf numFmtId="43" fontId="9" fillId="0" borderId="1" xfId="9" applyFont="1" applyBorder="1" applyAlignment="1">
      <alignment horizontal="center" vertical="center"/>
    </xf>
    <xf numFmtId="43" fontId="27" fillId="0" borderId="1" xfId="9" applyFont="1" applyBorder="1" applyAlignment="1">
      <alignment horizontal="center" vertical="center"/>
    </xf>
    <xf numFmtId="0" fontId="8" fillId="0" borderId="4" xfId="0" applyFont="1" applyBorder="1" applyAlignment="1">
      <alignment horizontal="center" vertical="center" wrapText="1"/>
    </xf>
    <xf numFmtId="43" fontId="8" fillId="0" borderId="4" xfId="9" applyFont="1" applyBorder="1" applyAlignment="1">
      <alignment vertical="center"/>
    </xf>
    <xf numFmtId="0" fontId="8" fillId="2" borderId="5" xfId="0" applyFont="1" applyFill="1" applyBorder="1" applyAlignment="1">
      <alignment horizontal="justify" vertical="center" wrapText="1"/>
    </xf>
    <xf numFmtId="0" fontId="26" fillId="25"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3" xfId="0" applyFont="1" applyFill="1" applyBorder="1" applyAlignment="1">
      <alignment horizontal="justify" vertical="center" wrapText="1"/>
    </xf>
    <xf numFmtId="43" fontId="8" fillId="0" borderId="1" xfId="9" applyFont="1" applyBorder="1" applyAlignment="1">
      <alignment vertical="center"/>
    </xf>
    <xf numFmtId="0" fontId="26" fillId="25" borderId="1" xfId="0" applyFont="1" applyFill="1" applyBorder="1" applyAlignment="1">
      <alignment horizontal="center" vertical="center" wrapText="1"/>
    </xf>
    <xf numFmtId="0" fontId="26" fillId="0" borderId="12" xfId="0" applyFont="1" applyFill="1" applyBorder="1" applyAlignment="1">
      <alignment horizontal="center" vertical="center" wrapText="1"/>
    </xf>
    <xf numFmtId="43" fontId="9" fillId="2" borderId="1" xfId="9" applyFont="1" applyFill="1" applyBorder="1" applyAlignment="1">
      <alignment horizontal="right" vertical="center" wrapText="1"/>
    </xf>
    <xf numFmtId="0" fontId="7" fillId="0" borderId="0" xfId="0" applyFont="1"/>
    <xf numFmtId="43" fontId="7" fillId="0" borderId="8" xfId="9" applyFont="1" applyBorder="1" applyAlignment="1">
      <alignment horizontal="center" vertical="center"/>
    </xf>
    <xf numFmtId="43" fontId="7" fillId="0" borderId="1" xfId="9" applyFont="1" applyBorder="1" applyAlignment="1">
      <alignment horizontal="center" vertical="center"/>
    </xf>
    <xf numFmtId="0" fontId="7" fillId="0" borderId="4" xfId="0" applyFont="1" applyBorder="1" applyAlignment="1">
      <alignment horizontal="center" vertical="center"/>
    </xf>
    <xf numFmtId="0" fontId="7" fillId="0" borderId="1" xfId="0" applyFont="1" applyFill="1" applyBorder="1" applyAlignment="1">
      <alignment horizontal="left" vertical="center"/>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10" fontId="7" fillId="0" borderId="4" xfId="1" applyNumberFormat="1" applyFont="1" applyFill="1" applyBorder="1" applyAlignment="1">
      <alignment horizontal="center" vertical="center" wrapText="1"/>
    </xf>
    <xf numFmtId="0" fontId="8" fillId="2" borderId="4" xfId="0" applyFont="1" applyFill="1" applyBorder="1" applyAlignment="1">
      <alignment vertical="center" wrapText="1"/>
    </xf>
    <xf numFmtId="43" fontId="7" fillId="0" borderId="4" xfId="9" applyFont="1" applyFill="1" applyBorder="1" applyAlignment="1">
      <alignment horizontal="center" vertical="center"/>
    </xf>
    <xf numFmtId="180" fontId="7" fillId="2" borderId="4" xfId="19" applyNumberFormat="1" applyFont="1" applyFill="1" applyBorder="1" applyAlignment="1">
      <alignment horizontal="right" vertical="center"/>
    </xf>
    <xf numFmtId="0" fontId="8" fillId="0" borderId="0" xfId="0" applyFont="1" applyAlignment="1">
      <alignment horizontal="justify" vertical="center"/>
    </xf>
    <xf numFmtId="42" fontId="8" fillId="0" borderId="0" xfId="23" applyFont="1" applyAlignment="1">
      <alignment horizontal="center" vertical="center"/>
    </xf>
    <xf numFmtId="0" fontId="8" fillId="0" borderId="0" xfId="0" applyFont="1" applyAlignment="1">
      <alignment horizontal="left"/>
    </xf>
    <xf numFmtId="0" fontId="8" fillId="0" borderId="0" xfId="0" applyFont="1" applyAlignment="1"/>
    <xf numFmtId="0" fontId="8" fillId="0" borderId="0" xfId="0" applyFont="1" applyFill="1" applyAlignment="1">
      <alignment horizontal="left"/>
    </xf>
    <xf numFmtId="0" fontId="9" fillId="0" borderId="0" xfId="0" applyNumberFormat="1" applyFont="1" applyFill="1" applyAlignment="1">
      <alignment horizontal="center" wrapText="1"/>
    </xf>
    <xf numFmtId="2" fontId="10" fillId="0" borderId="0" xfId="0" applyNumberFormat="1" applyFont="1" applyFill="1" applyAlignment="1">
      <alignment horizontal="center"/>
    </xf>
    <xf numFmtId="9" fontId="9" fillId="0" borderId="0" xfId="1" applyNumberFormat="1" applyFont="1" applyAlignment="1">
      <alignment horizontal="right"/>
    </xf>
    <xf numFmtId="3" fontId="9" fillId="0" borderId="0" xfId="0" applyNumberFormat="1" applyFont="1" applyFill="1" applyAlignment="1">
      <alignment horizontal="right"/>
    </xf>
    <xf numFmtId="4" fontId="9" fillId="0" borderId="0" xfId="0" applyNumberFormat="1" applyFont="1" applyAlignment="1">
      <alignment horizontal="right" vertical="center"/>
    </xf>
    <xf numFmtId="3" fontId="9" fillId="0" borderId="0" xfId="0" applyNumberFormat="1" applyFont="1" applyAlignment="1">
      <alignment horizontal="center" vertical="center"/>
    </xf>
    <xf numFmtId="4" fontId="8" fillId="0" borderId="0" xfId="1" applyNumberFormat="1" applyFont="1" applyFill="1" applyAlignment="1">
      <alignment horizontal="right" vertical="center"/>
    </xf>
    <xf numFmtId="4" fontId="8" fillId="0" borderId="0" xfId="0" quotePrefix="1" applyNumberFormat="1" applyFont="1" applyFill="1" applyBorder="1" applyAlignment="1">
      <alignment horizontal="right" vertical="center" wrapText="1"/>
    </xf>
    <xf numFmtId="0" fontId="8" fillId="0" borderId="0" xfId="0" applyFont="1" applyFill="1" applyAlignment="1">
      <alignment horizontal="justify"/>
    </xf>
    <xf numFmtId="0" fontId="8" fillId="0" borderId="0" xfId="0" applyFont="1" applyAlignment="1">
      <alignment horizontal="left" vertical="center"/>
    </xf>
    <xf numFmtId="4" fontId="9" fillId="0" borderId="0" xfId="0" applyNumberFormat="1" applyFont="1" applyFill="1" applyAlignment="1">
      <alignment horizontal="right" vertical="center"/>
    </xf>
    <xf numFmtId="3" fontId="9" fillId="0" borderId="0" xfId="0" applyNumberFormat="1" applyFont="1" applyFill="1" applyAlignment="1">
      <alignment horizontal="center" vertical="center"/>
    </xf>
    <xf numFmtId="4" fontId="9" fillId="0" borderId="0" xfId="0" applyNumberFormat="1" applyFont="1" applyFill="1" applyAlignment="1">
      <alignment horizontal="left" vertical="center"/>
    </xf>
    <xf numFmtId="4" fontId="8" fillId="0" borderId="0" xfId="1" applyNumberFormat="1" applyFont="1" applyFill="1" applyAlignment="1">
      <alignment horizontal="left"/>
    </xf>
    <xf numFmtId="4" fontId="8" fillId="0" borderId="0" xfId="0" applyNumberFormat="1" applyFont="1" applyBorder="1" applyAlignment="1">
      <alignment horizontal="left" vertical="center" wrapText="1"/>
    </xf>
    <xf numFmtId="0" fontId="7" fillId="0" borderId="1" xfId="0" applyFont="1" applyBorder="1" applyAlignment="1">
      <alignment horizontal="center" vertical="center" wrapText="1"/>
    </xf>
    <xf numFmtId="2" fontId="10" fillId="0" borderId="0" xfId="0" applyNumberFormat="1" applyFont="1" applyAlignment="1">
      <alignment horizontal="center"/>
    </xf>
    <xf numFmtId="4" fontId="9" fillId="0" borderId="0" xfId="0" applyNumberFormat="1" applyFont="1" applyAlignment="1">
      <alignment horizontal="left" vertical="center"/>
    </xf>
    <xf numFmtId="4" fontId="8" fillId="0" borderId="0" xfId="0" quotePrefix="1" applyNumberFormat="1" applyFont="1" applyBorder="1" applyAlignment="1">
      <alignment horizontal="left" vertical="center" wrapText="1"/>
    </xf>
    <xf numFmtId="0" fontId="9" fillId="26" borderId="1" xfId="0" applyNumberFormat="1" applyFont="1" applyFill="1" applyBorder="1" applyAlignment="1" applyProtection="1">
      <alignment horizontal="center" vertical="center" wrapText="1"/>
      <protection locked="0"/>
    </xf>
    <xf numFmtId="9" fontId="9" fillId="0" borderId="1" xfId="1" applyFont="1" applyFill="1" applyBorder="1" applyAlignment="1">
      <alignment horizontal="center" vertical="center" wrapText="1"/>
    </xf>
    <xf numFmtId="0" fontId="28" fillId="0" borderId="0" xfId="0" applyFont="1" applyBorder="1" applyAlignment="1">
      <alignment vertical="top" wrapText="1"/>
    </xf>
    <xf numFmtId="0" fontId="28" fillId="0" borderId="3" xfId="0" applyFont="1" applyBorder="1" applyAlignment="1">
      <alignment vertical="top" wrapText="1"/>
    </xf>
    <xf numFmtId="0" fontId="8" fillId="27" borderId="1" xfId="0" applyNumberFormat="1" applyFont="1" applyFill="1" applyBorder="1" applyAlignment="1" applyProtection="1">
      <alignment horizontal="center" vertical="center" wrapText="1"/>
      <protection locked="0"/>
    </xf>
    <xf numFmtId="0" fontId="29" fillId="0" borderId="0" xfId="0" applyFont="1" applyBorder="1" applyAlignment="1">
      <alignment vertical="top" wrapText="1"/>
    </xf>
    <xf numFmtId="0" fontId="8" fillId="6" borderId="1" xfId="0" applyNumberFormat="1" applyFont="1" applyFill="1" applyBorder="1" applyAlignment="1" applyProtection="1">
      <alignment horizontal="center" vertical="center" wrapText="1"/>
      <protection locked="0"/>
    </xf>
    <xf numFmtId="0" fontId="9" fillId="0" borderId="0" xfId="0" applyFont="1" applyAlignment="1">
      <alignment vertical="top" wrapText="1"/>
    </xf>
    <xf numFmtId="0" fontId="8" fillId="4" borderId="1" xfId="0" applyNumberFormat="1" applyFont="1" applyFill="1" applyBorder="1" applyAlignment="1" applyProtection="1">
      <alignment horizontal="center" vertical="center" wrapText="1"/>
      <protection locked="0"/>
    </xf>
    <xf numFmtId="0" fontId="30" fillId="0" borderId="0" xfId="0" applyFont="1" applyAlignment="1">
      <alignment vertical="top" wrapText="1"/>
    </xf>
    <xf numFmtId="0" fontId="8" fillId="7" borderId="1" xfId="0" applyNumberFormat="1" applyFont="1" applyFill="1" applyBorder="1" applyAlignment="1" applyProtection="1">
      <alignment horizontal="center" vertical="center" wrapText="1"/>
      <protection locked="0"/>
    </xf>
    <xf numFmtId="3" fontId="9" fillId="0" borderId="0" xfId="0" applyNumberFormat="1" applyFont="1" applyAlignment="1">
      <alignment horizontal="center"/>
    </xf>
    <xf numFmtId="4" fontId="9" fillId="0" borderId="0" xfId="0" applyNumberFormat="1" applyFont="1" applyAlignment="1">
      <alignment horizontal="left"/>
    </xf>
    <xf numFmtId="3" fontId="9" fillId="0" borderId="0" xfId="0" applyNumberFormat="1" applyFont="1" applyAlignment="1">
      <alignment horizontal="right"/>
    </xf>
    <xf numFmtId="3" fontId="9" fillId="0" borderId="0" xfId="0" applyNumberFormat="1" applyFont="1" applyFill="1" applyAlignment="1">
      <alignment horizontal="justify"/>
    </xf>
    <xf numFmtId="4" fontId="8" fillId="0" borderId="0" xfId="0" applyNumberFormat="1" applyFont="1" applyAlignment="1">
      <alignment horizontal="left" vertical="center" wrapText="1"/>
    </xf>
    <xf numFmtId="0" fontId="17" fillId="2" borderId="11" xfId="0" applyFont="1" applyFill="1" applyBorder="1" applyAlignment="1">
      <alignment horizontal="justify" vertical="center" wrapText="1"/>
    </xf>
    <xf numFmtId="1" fontId="17" fillId="2" borderId="4" xfId="0" applyNumberFormat="1"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1" xfId="0" applyFont="1" applyBorder="1" applyAlignment="1">
      <alignment horizontal="justify"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justify" vertical="center" wrapText="1"/>
    </xf>
    <xf numFmtId="173" fontId="17"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73" fontId="17" fillId="2" borderId="4" xfId="0" applyNumberFormat="1" applyFont="1" applyFill="1" applyBorder="1" applyAlignment="1">
      <alignment horizontal="center" vertical="center" wrapText="1"/>
    </xf>
    <xf numFmtId="0" fontId="15" fillId="0" borderId="1" xfId="0" applyFont="1" applyBorder="1"/>
    <xf numFmtId="0" fontId="15" fillId="0" borderId="1" xfId="0" applyFont="1" applyBorder="1" applyAlignment="1">
      <alignment horizontal="left"/>
    </xf>
    <xf numFmtId="0" fontId="17" fillId="0" borderId="0" xfId="0" applyFont="1" applyAlignment="1">
      <alignment wrapText="1"/>
    </xf>
    <xf numFmtId="0" fontId="15" fillId="0" borderId="1" xfId="0" applyFont="1" applyBorder="1" applyAlignment="1">
      <alignment vertical="center"/>
    </xf>
    <xf numFmtId="0" fontId="3" fillId="0" borderId="0" xfId="0" applyFont="1"/>
    <xf numFmtId="1" fontId="8" fillId="4" borderId="11" xfId="0" applyNumberFormat="1" applyFont="1" applyFill="1" applyBorder="1" applyAlignment="1">
      <alignment horizontal="center" vertical="center" wrapText="1"/>
    </xf>
    <xf numFmtId="184" fontId="0" fillId="0" borderId="0" xfId="0" applyNumberFormat="1" applyFill="1" applyBorder="1" applyAlignment="1" applyProtection="1"/>
    <xf numFmtId="43" fontId="9" fillId="2" borderId="1" xfId="9" applyFont="1" applyFill="1" applyBorder="1" applyAlignment="1" applyProtection="1">
      <alignment horizontal="right" vertical="center" wrapText="1"/>
      <protection locked="0"/>
    </xf>
    <xf numFmtId="0" fontId="8" fillId="4" borderId="11" xfId="0" applyFont="1" applyFill="1" applyBorder="1" applyAlignment="1">
      <alignment horizontal="center" vertical="center" wrapText="1"/>
    </xf>
    <xf numFmtId="0" fontId="17" fillId="0" borderId="0" xfId="0" applyFont="1" applyAlignment="1">
      <alignment horizontal="justify" vertical="center"/>
    </xf>
    <xf numFmtId="9" fontId="3" fillId="0" borderId="0" xfId="1" applyFont="1"/>
    <xf numFmtId="173" fontId="33" fillId="2" borderId="0" xfId="0" applyNumberFormat="1" applyFont="1" applyFill="1" applyAlignment="1">
      <alignment vertical="center"/>
    </xf>
    <xf numFmtId="173" fontId="34" fillId="2" borderId="0" xfId="0" applyNumberFormat="1" applyFont="1" applyFill="1" applyAlignment="1">
      <alignment vertical="center"/>
    </xf>
    <xf numFmtId="0" fontId="17" fillId="0" borderId="14" xfId="0" applyFont="1" applyBorder="1"/>
    <xf numFmtId="0" fontId="17" fillId="0" borderId="18" xfId="0" applyFont="1" applyBorder="1" applyAlignment="1">
      <alignment horizontal="justify" vertical="center"/>
    </xf>
    <xf numFmtId="174" fontId="17" fillId="0" borderId="18" xfId="0" applyNumberFormat="1" applyFont="1" applyBorder="1" applyAlignment="1">
      <alignment horizontal="center"/>
    </xf>
    <xf numFmtId="174" fontId="17" fillId="0" borderId="18" xfId="0" applyNumberFormat="1" applyFont="1" applyBorder="1" applyAlignment="1">
      <alignment horizontal="right" vertical="center"/>
    </xf>
    <xf numFmtId="0" fontId="3" fillId="0" borderId="18" xfId="0" applyFont="1" applyBorder="1"/>
    <xf numFmtId="9" fontId="3" fillId="0" borderId="13" xfId="1" applyFont="1" applyBorder="1"/>
    <xf numFmtId="0" fontId="3" fillId="0" borderId="1" xfId="0" applyFont="1" applyBorder="1"/>
    <xf numFmtId="0" fontId="3" fillId="0" borderId="14" xfId="0" applyFont="1" applyBorder="1"/>
    <xf numFmtId="0" fontId="17" fillId="0" borderId="18" xfId="0" applyFont="1" applyBorder="1"/>
    <xf numFmtId="0" fontId="17" fillId="2" borderId="18" xfId="0" applyFont="1" applyFill="1" applyBorder="1" applyAlignment="1">
      <alignment horizontal="center" vertical="center"/>
    </xf>
    <xf numFmtId="1" fontId="17" fillId="2" borderId="13" xfId="0" applyNumberFormat="1" applyFont="1" applyFill="1" applyBorder="1" applyAlignment="1">
      <alignment horizontal="center" vertical="center"/>
    </xf>
    <xf numFmtId="173" fontId="15" fillId="2" borderId="13" xfId="0" applyNumberFormat="1" applyFont="1" applyFill="1" applyBorder="1" applyAlignment="1">
      <alignment horizontal="center" vertical="center"/>
    </xf>
    <xf numFmtId="0" fontId="17" fillId="2" borderId="14" xfId="0" applyFont="1" applyFill="1" applyBorder="1" applyAlignment="1">
      <alignment horizontal="justify" vertical="center"/>
    </xf>
    <xf numFmtId="0" fontId="17" fillId="2" borderId="18" xfId="0" applyFont="1" applyFill="1" applyBorder="1" applyAlignment="1">
      <alignment horizontal="justify" vertical="center"/>
    </xf>
    <xf numFmtId="178" fontId="17" fillId="2" borderId="18" xfId="0" applyNumberFormat="1" applyFont="1" applyFill="1" applyBorder="1" applyAlignment="1">
      <alignment horizontal="center" vertical="center"/>
    </xf>
    <xf numFmtId="0" fontId="17" fillId="2" borderId="18" xfId="0" applyFont="1" applyFill="1" applyBorder="1" applyAlignment="1">
      <alignment horizontal="center"/>
    </xf>
    <xf numFmtId="0" fontId="17" fillId="2" borderId="18" xfId="0" applyFont="1" applyFill="1" applyBorder="1"/>
    <xf numFmtId="1" fontId="17" fillId="0" borderId="13" xfId="0" applyNumberFormat="1" applyFont="1" applyBorder="1"/>
    <xf numFmtId="164" fontId="11" fillId="25" borderId="1" xfId="19" applyFont="1" applyFill="1" applyBorder="1" applyAlignment="1" applyProtection="1">
      <alignment vertical="center" wrapText="1"/>
      <protection locked="0"/>
    </xf>
    <xf numFmtId="164" fontId="11" fillId="0" borderId="1" xfId="19" applyFont="1" applyFill="1" applyBorder="1" applyAlignment="1" applyProtection="1">
      <alignment vertical="center" wrapText="1"/>
      <protection locked="0"/>
    </xf>
    <xf numFmtId="0" fontId="17" fillId="2" borderId="2" xfId="0" applyFont="1" applyFill="1" applyBorder="1" applyAlignment="1">
      <alignment vertical="center" wrapText="1"/>
    </xf>
    <xf numFmtId="0" fontId="17" fillId="24" borderId="14" xfId="0" applyFont="1" applyFill="1" applyBorder="1" applyAlignment="1">
      <alignment horizontal="justify" vertical="center"/>
    </xf>
    <xf numFmtId="174" fontId="15" fillId="24" borderId="18" xfId="0" applyNumberFormat="1" applyFont="1" applyFill="1" applyBorder="1" applyAlignment="1">
      <alignment vertical="center"/>
    </xf>
    <xf numFmtId="0" fontId="17" fillId="24" borderId="18" xfId="0" applyFont="1" applyFill="1" applyBorder="1" applyAlignment="1">
      <alignment vertical="center"/>
    </xf>
    <xf numFmtId="9" fontId="17" fillId="24" borderId="18" xfId="1" applyFont="1" applyFill="1" applyBorder="1" applyAlignment="1">
      <alignment vertical="center"/>
    </xf>
    <xf numFmtId="164" fontId="13" fillId="24" borderId="18" xfId="19" applyFont="1" applyFill="1" applyBorder="1" applyAlignment="1">
      <alignment vertical="center"/>
    </xf>
    <xf numFmtId="0" fontId="15" fillId="23" borderId="10" xfId="0" applyFont="1" applyFill="1" applyBorder="1" applyAlignment="1">
      <alignment horizontal="justify" vertical="center"/>
    </xf>
    <xf numFmtId="174" fontId="15" fillId="23" borderId="9" xfId="0" applyNumberFormat="1" applyFont="1" applyFill="1" applyBorder="1" applyAlignment="1">
      <alignment vertical="center"/>
    </xf>
    <xf numFmtId="174" fontId="32" fillId="23" borderId="9" xfId="0" applyNumberFormat="1" applyFont="1" applyFill="1" applyBorder="1" applyAlignment="1">
      <alignment horizontal="left" vertical="center"/>
    </xf>
    <xf numFmtId="174" fontId="32" fillId="23" borderId="1" xfId="0" applyNumberFormat="1" applyFont="1" applyFill="1" applyBorder="1" applyAlignment="1">
      <alignment horizontal="left" vertical="center"/>
    </xf>
    <xf numFmtId="9" fontId="32" fillId="23" borderId="9" xfId="1" applyFont="1" applyFill="1" applyBorder="1" applyAlignment="1">
      <alignment horizontal="left" vertical="center"/>
    </xf>
    <xf numFmtId="164" fontId="13" fillId="23" borderId="9" xfId="19" applyFont="1" applyFill="1" applyBorder="1" applyAlignment="1">
      <alignment vertical="center"/>
    </xf>
    <xf numFmtId="0" fontId="17" fillId="2" borderId="5" xfId="0" applyFont="1" applyFill="1" applyBorder="1" applyAlignment="1">
      <alignment vertical="center" wrapText="1"/>
    </xf>
    <xf numFmtId="164" fontId="13" fillId="24" borderId="0" xfId="19" applyFont="1" applyFill="1" applyBorder="1" applyAlignment="1">
      <alignment vertical="center"/>
    </xf>
    <xf numFmtId="0" fontId="15" fillId="24" borderId="9" xfId="0" applyFont="1" applyFill="1" applyBorder="1" applyAlignment="1">
      <alignment vertical="center"/>
    </xf>
    <xf numFmtId="164" fontId="11" fillId="2" borderId="4" xfId="19" applyFont="1" applyFill="1" applyBorder="1" applyAlignment="1">
      <alignment vertical="center" wrapText="1"/>
    </xf>
    <xf numFmtId="164" fontId="11" fillId="0" borderId="1" xfId="19" applyFont="1" applyFill="1" applyBorder="1" applyAlignment="1">
      <alignment vertical="center" wrapText="1"/>
    </xf>
    <xf numFmtId="0" fontId="36" fillId="2" borderId="1" xfId="0" applyFont="1" applyFill="1" applyBorder="1" applyAlignment="1">
      <alignment horizontal="center" vertical="center" wrapText="1"/>
    </xf>
    <xf numFmtId="173" fontId="15" fillId="24" borderId="18" xfId="0" applyNumberFormat="1" applyFont="1" applyFill="1" applyBorder="1" applyAlignment="1">
      <alignment horizontal="justify" vertical="center"/>
    </xf>
    <xf numFmtId="0" fontId="17" fillId="2" borderId="5" xfId="0" applyFont="1" applyFill="1" applyBorder="1" applyAlignment="1">
      <alignment horizontal="center" vertical="center" wrapText="1"/>
    </xf>
    <xf numFmtId="0" fontId="15" fillId="24" borderId="14" xfId="0" applyFont="1" applyFill="1" applyBorder="1" applyAlignment="1">
      <alignment horizontal="justify" vertical="center"/>
    </xf>
    <xf numFmtId="174" fontId="32" fillId="24" borderId="18" xfId="0" applyNumberFormat="1" applyFont="1" applyFill="1" applyBorder="1" applyAlignment="1">
      <alignment horizontal="left" vertical="center"/>
    </xf>
    <xf numFmtId="174" fontId="32" fillId="24" borderId="1" xfId="0" applyNumberFormat="1" applyFont="1" applyFill="1" applyBorder="1" applyAlignment="1">
      <alignment horizontal="left" vertical="center"/>
    </xf>
    <xf numFmtId="9" fontId="32" fillId="24" borderId="18" xfId="1" applyFont="1" applyFill="1" applyBorder="1" applyAlignment="1">
      <alignment horizontal="left" vertical="center"/>
    </xf>
    <xf numFmtId="0" fontId="15" fillId="4" borderId="14" xfId="0" applyFont="1" applyFill="1" applyBorder="1" applyAlignment="1">
      <alignment horizontal="justify" vertical="center"/>
    </xf>
    <xf numFmtId="174" fontId="15" fillId="4" borderId="18" xfId="0" applyNumberFormat="1" applyFont="1" applyFill="1" applyBorder="1" applyAlignment="1">
      <alignment vertical="center"/>
    </xf>
    <xf numFmtId="174" fontId="32" fillId="4" borderId="18" xfId="0" applyNumberFormat="1" applyFont="1" applyFill="1" applyBorder="1" applyAlignment="1">
      <alignment horizontal="left" vertical="center"/>
    </xf>
    <xf numFmtId="9" fontId="32" fillId="4" borderId="1" xfId="1" applyFont="1" applyFill="1" applyBorder="1" applyAlignment="1">
      <alignment horizontal="left" vertical="center"/>
    </xf>
    <xf numFmtId="1" fontId="15" fillId="4" borderId="13" xfId="0" applyNumberFormat="1" applyFont="1" applyFill="1" applyBorder="1" applyAlignment="1">
      <alignment horizontal="left" vertical="center" wrapText="1"/>
    </xf>
    <xf numFmtId="181" fontId="37" fillId="21" borderId="1" xfId="0" applyNumberFormat="1" applyFont="1" applyFill="1" applyBorder="1" applyAlignment="1">
      <alignment horizontal="center" vertical="center" wrapText="1"/>
    </xf>
    <xf numFmtId="181" fontId="28" fillId="21" borderId="1" xfId="0" applyNumberFormat="1" applyFont="1" applyFill="1" applyBorder="1" applyAlignment="1">
      <alignment horizontal="center" vertical="center" wrapText="1"/>
    </xf>
    <xf numFmtId="0" fontId="37" fillId="21" borderId="1" xfId="0" applyFont="1" applyFill="1" applyBorder="1" applyAlignment="1">
      <alignment horizontal="center" vertical="center" wrapText="1"/>
    </xf>
    <xf numFmtId="0" fontId="28" fillId="21" borderId="1" xfId="0" applyFont="1" applyFill="1" applyBorder="1" applyAlignment="1">
      <alignment horizontal="center" vertical="center" wrapText="1"/>
    </xf>
    <xf numFmtId="0" fontId="28" fillId="0" borderId="18" xfId="0" applyFont="1" applyBorder="1" applyAlignment="1">
      <alignment horizontal="center" vertical="center"/>
    </xf>
    <xf numFmtId="9" fontId="28" fillId="0" borderId="18" xfId="1" applyFont="1" applyBorder="1" applyAlignment="1">
      <alignment horizontal="center" vertical="center"/>
    </xf>
    <xf numFmtId="3" fontId="31" fillId="8" borderId="15" xfId="0" applyNumberFormat="1" applyFont="1" applyFill="1" applyBorder="1" applyAlignment="1">
      <alignment horizontal="left" vertical="center" wrapText="1"/>
    </xf>
    <xf numFmtId="17" fontId="15" fillId="0" borderId="15" xfId="0" applyNumberFormat="1" applyFont="1" applyBorder="1" applyAlignment="1">
      <alignment horizontal="left"/>
    </xf>
    <xf numFmtId="170" fontId="15" fillId="0" borderId="15" xfId="0" applyNumberFormat="1" applyFont="1" applyBorder="1" applyAlignment="1">
      <alignment horizontal="left"/>
    </xf>
    <xf numFmtId="0" fontId="15" fillId="0" borderId="21" xfId="0" applyFont="1" applyBorder="1"/>
    <xf numFmtId="0" fontId="15" fillId="0" borderId="20" xfId="0" applyFont="1" applyBorder="1"/>
    <xf numFmtId="173" fontId="15" fillId="2" borderId="1" xfId="0" applyNumberFormat="1" applyFont="1" applyFill="1" applyBorder="1" applyAlignment="1">
      <alignment vertical="center"/>
    </xf>
    <xf numFmtId="1" fontId="17" fillId="2" borderId="4" xfId="0" applyNumberFormat="1"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justify" vertical="center" wrapText="1"/>
    </xf>
    <xf numFmtId="173" fontId="17" fillId="2" borderId="1" xfId="0" applyNumberFormat="1"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164" fontId="11" fillId="2" borderId="1" xfId="19" applyFont="1" applyFill="1" applyBorder="1" applyAlignment="1" applyProtection="1">
      <alignment vertical="center" wrapText="1"/>
      <protection locked="0"/>
    </xf>
    <xf numFmtId="43" fontId="12" fillId="4" borderId="1" xfId="0" applyNumberFormat="1" applyFont="1" applyFill="1" applyBorder="1" applyAlignment="1">
      <alignment vertical="center"/>
    </xf>
    <xf numFmtId="173" fontId="17" fillId="4" borderId="1" xfId="0" applyNumberFormat="1" applyFont="1" applyFill="1" applyBorder="1" applyAlignment="1">
      <alignment horizontal="center" vertical="center" wrapText="1"/>
    </xf>
    <xf numFmtId="173" fontId="17" fillId="4" borderId="4" xfId="0" applyNumberFormat="1" applyFont="1" applyFill="1" applyBorder="1" applyAlignment="1">
      <alignment horizontal="center" vertical="center" wrapText="1"/>
    </xf>
    <xf numFmtId="43" fontId="9" fillId="6" borderId="1" xfId="9" applyFont="1" applyFill="1" applyBorder="1" applyAlignment="1">
      <alignment horizontal="right" vertical="center" wrapText="1"/>
    </xf>
    <xf numFmtId="43" fontId="9" fillId="6" borderId="1" xfId="9" applyFont="1" applyFill="1" applyBorder="1" applyAlignment="1" applyProtection="1">
      <alignment horizontal="right" vertical="center" wrapText="1"/>
      <protection locked="0"/>
    </xf>
    <xf numFmtId="173" fontId="17" fillId="0" borderId="1" xfId="0" applyNumberFormat="1" applyFont="1" applyFill="1" applyBorder="1" applyAlignment="1">
      <alignment horizontal="center" vertical="center" wrapText="1"/>
    </xf>
    <xf numFmtId="43" fontId="9" fillId="4" borderId="1" xfId="9" applyFont="1" applyFill="1" applyBorder="1" applyAlignment="1">
      <alignment horizontal="center" vertical="center"/>
    </xf>
    <xf numFmtId="43" fontId="9" fillId="4" borderId="1" xfId="9" applyFont="1" applyFill="1" applyBorder="1" applyAlignment="1">
      <alignment horizontal="center" vertical="center" wrapText="1"/>
    </xf>
    <xf numFmtId="43" fontId="9" fillId="4" borderId="5" xfId="9" applyFont="1" applyFill="1" applyBorder="1" applyAlignment="1">
      <alignment horizontal="center" vertical="center"/>
    </xf>
    <xf numFmtId="9" fontId="9" fillId="2" borderId="4" xfId="1" applyNumberFormat="1" applyFont="1" applyFill="1" applyBorder="1" applyAlignment="1">
      <alignment horizontal="center" vertical="center"/>
    </xf>
    <xf numFmtId="0" fontId="26" fillId="25"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7" fillId="2" borderId="1" xfId="0" applyFont="1" applyFill="1" applyBorder="1" applyAlignment="1">
      <alignment horizontal="center" vertical="center" wrapText="1"/>
    </xf>
    <xf numFmtId="173" fontId="17" fillId="2" borderId="1" xfId="0" applyNumberFormat="1" applyFont="1" applyFill="1" applyBorder="1" applyAlignment="1">
      <alignment horizontal="center" vertical="center" wrapText="1"/>
    </xf>
    <xf numFmtId="173" fontId="17" fillId="2" borderId="4" xfId="0" applyNumberFormat="1"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3" fontId="9" fillId="0" borderId="5" xfId="0" applyNumberFormat="1" applyFont="1" applyFill="1" applyBorder="1" applyAlignment="1" applyProtection="1">
      <alignment horizontal="justify" vertical="center" wrapText="1"/>
      <protection locked="0"/>
    </xf>
    <xf numFmtId="3" fontId="9" fillId="0" borderId="7" xfId="0" applyNumberFormat="1" applyFont="1" applyFill="1" applyBorder="1" applyAlignment="1" applyProtection="1">
      <alignment horizontal="justify" vertical="center" wrapText="1"/>
      <protection locked="0"/>
    </xf>
    <xf numFmtId="0" fontId="8" fillId="24" borderId="1" xfId="0" applyFont="1" applyFill="1" applyBorder="1" applyAlignment="1">
      <alignment horizontal="center" vertical="center" wrapText="1"/>
    </xf>
    <xf numFmtId="9" fontId="17" fillId="2" borderId="13" xfId="0" applyNumberFormat="1" applyFont="1" applyFill="1" applyBorder="1" applyAlignment="1">
      <alignment horizontal="center" vertical="center" wrapText="1"/>
    </xf>
    <xf numFmtId="0" fontId="17" fillId="2" borderId="13" xfId="0" applyFont="1" applyFill="1" applyBorder="1" applyAlignment="1">
      <alignment horizontal="center" vertical="center" wrapText="1"/>
    </xf>
    <xf numFmtId="174" fontId="32" fillId="23" borderId="4" xfId="0" applyNumberFormat="1" applyFont="1" applyFill="1" applyBorder="1" applyAlignment="1">
      <alignment horizontal="left" vertical="center"/>
    </xf>
    <xf numFmtId="0" fontId="13" fillId="10" borderId="13" xfId="0" applyFont="1" applyFill="1" applyBorder="1" applyAlignment="1">
      <alignment horizontal="left" vertical="center"/>
    </xf>
    <xf numFmtId="0" fontId="13" fillId="10" borderId="18" xfId="0" applyFont="1" applyFill="1" applyBorder="1" applyAlignment="1">
      <alignment horizontal="left" vertical="center"/>
    </xf>
    <xf numFmtId="0" fontId="11" fillId="0" borderId="12" xfId="0" applyFont="1" applyBorder="1" applyAlignment="1">
      <alignment horizontal="center" vertical="center" wrapText="1"/>
    </xf>
    <xf numFmtId="0" fontId="9" fillId="0" borderId="12" xfId="0" applyFont="1" applyBorder="1" applyAlignment="1">
      <alignment horizontal="right" vertical="center" wrapText="1"/>
    </xf>
    <xf numFmtId="169" fontId="11" fillId="0" borderId="12" xfId="4" applyNumberFormat="1" applyFont="1" applyBorder="1" applyAlignment="1">
      <alignment horizontal="justify" vertical="center" wrapText="1"/>
    </xf>
    <xf numFmtId="0" fontId="11" fillId="0" borderId="12" xfId="0" applyFont="1" applyBorder="1" applyAlignment="1">
      <alignment horizontal="justify" vertical="center"/>
    </xf>
    <xf numFmtId="0" fontId="11" fillId="0" borderId="12"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11" borderId="1" xfId="0" applyFont="1" applyFill="1" applyBorder="1" applyAlignment="1">
      <alignment horizontal="center" vertical="center" wrapText="1"/>
    </xf>
    <xf numFmtId="0" fontId="4" fillId="11" borderId="1"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12" xfId="0" applyFont="1" applyBorder="1" applyAlignment="1">
      <alignment horizontal="justify" vertical="center" wrapText="1"/>
    </xf>
    <xf numFmtId="0" fontId="11" fillId="0" borderId="11" xfId="0" applyFont="1" applyBorder="1" applyAlignment="1">
      <alignment horizontal="justify" vertical="center"/>
    </xf>
    <xf numFmtId="0" fontId="9" fillId="0" borderId="11" xfId="0" applyFont="1" applyBorder="1" applyAlignment="1">
      <alignment horizontal="right" vertical="center" wrapText="1"/>
    </xf>
    <xf numFmtId="0" fontId="11" fillId="0" borderId="11" xfId="0" applyFont="1" applyBorder="1" applyAlignment="1">
      <alignment horizontal="justify" vertical="center" wrapText="1"/>
    </xf>
    <xf numFmtId="0" fontId="11" fillId="0" borderId="4" xfId="0" applyFont="1" applyBorder="1" applyAlignment="1">
      <alignment horizontal="justify" vertical="center"/>
    </xf>
    <xf numFmtId="0" fontId="9" fillId="0" borderId="4" xfId="0" applyFont="1" applyBorder="1" applyAlignment="1">
      <alignment horizontal="right" vertical="center" wrapText="1"/>
    </xf>
    <xf numFmtId="0" fontId="11" fillId="0" borderId="4" xfId="0" applyFont="1" applyBorder="1" applyAlignment="1">
      <alignment horizontal="justify" vertical="center" wrapText="1"/>
    </xf>
    <xf numFmtId="0" fontId="13" fillId="10" borderId="18" xfId="0"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2" fillId="7" borderId="0" xfId="0" applyFont="1" applyFill="1" applyBorder="1" applyAlignment="1">
      <alignment horizontal="center" vertical="center" wrapText="1"/>
    </xf>
    <xf numFmtId="0" fontId="11" fillId="0" borderId="11" xfId="0" applyFont="1" applyFill="1" applyBorder="1" applyAlignment="1">
      <alignment horizontal="justify" vertical="center"/>
    </xf>
    <xf numFmtId="0" fontId="11" fillId="0" borderId="12" xfId="0" applyFont="1" applyFill="1" applyBorder="1" applyAlignment="1">
      <alignment horizontal="justify" vertical="center"/>
    </xf>
    <xf numFmtId="0" fontId="11" fillId="0" borderId="4" xfId="0" applyFont="1" applyFill="1" applyBorder="1" applyAlignment="1">
      <alignment horizontal="justify" vertical="center"/>
    </xf>
    <xf numFmtId="0" fontId="9" fillId="0" borderId="1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2"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9" fillId="0" borderId="11" xfId="0" applyFont="1" applyFill="1" applyBorder="1" applyAlignment="1">
      <alignment horizontal="right" vertical="center" wrapText="1"/>
    </xf>
    <xf numFmtId="0" fontId="9" fillId="0" borderId="4" xfId="0" applyFont="1" applyFill="1" applyBorder="1" applyAlignment="1">
      <alignment horizontal="right" vertical="center" wrapText="1"/>
    </xf>
    <xf numFmtId="0" fontId="11" fillId="0" borderId="11" xfId="0" applyFont="1" applyFill="1" applyBorder="1" applyAlignment="1">
      <alignment horizontal="justify"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12" xfId="0" applyFont="1" applyFill="1" applyBorder="1" applyAlignment="1">
      <alignment horizontal="right"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Fill="1" applyBorder="1" applyAlignment="1">
      <alignment horizontal="center" vertical="center" wrapText="1"/>
    </xf>
    <xf numFmtId="3" fontId="11" fillId="0" borderId="11" xfId="0" applyNumberFormat="1" applyFont="1" applyFill="1" applyBorder="1" applyAlignment="1">
      <alignment horizontal="justify" vertical="center" wrapText="1"/>
    </xf>
    <xf numFmtId="3" fontId="11" fillId="0" borderId="12" xfId="0" applyNumberFormat="1" applyFont="1" applyFill="1" applyBorder="1" applyAlignment="1">
      <alignment horizontal="justify" vertical="center" wrapText="1"/>
    </xf>
    <xf numFmtId="3" fontId="11" fillId="0" borderId="4" xfId="0" applyNumberFormat="1" applyFont="1" applyFill="1" applyBorder="1" applyAlignment="1">
      <alignment horizontal="justify" vertical="center" wrapText="1"/>
    </xf>
    <xf numFmtId="3" fontId="11" fillId="0" borderId="12" xfId="0" applyNumberFormat="1" applyFont="1" applyFill="1" applyBorder="1" applyAlignment="1">
      <alignment horizontal="left" vertical="center" wrapText="1"/>
    </xf>
    <xf numFmtId="3" fontId="11" fillId="0" borderId="4" xfId="0" applyNumberFormat="1" applyFont="1" applyFill="1" applyBorder="1" applyAlignment="1">
      <alignment horizontal="left" vertical="center" wrapText="1"/>
    </xf>
    <xf numFmtId="0" fontId="11" fillId="0" borderId="18" xfId="0" applyFont="1" applyBorder="1" applyAlignment="1">
      <alignment horizontal="center" vertical="center" wrapText="1"/>
    </xf>
    <xf numFmtId="3" fontId="11" fillId="0" borderId="11" xfId="0" applyNumberFormat="1" applyFont="1" applyBorder="1" applyAlignment="1">
      <alignment horizontal="left" vertical="center"/>
    </xf>
    <xf numFmtId="3" fontId="11" fillId="0" borderId="4" xfId="0" applyNumberFormat="1" applyFont="1" applyBorder="1" applyAlignment="1">
      <alignment horizontal="left" vertical="center"/>
    </xf>
    <xf numFmtId="3" fontId="11" fillId="0" borderId="11"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9" fillId="0" borderId="11" xfId="5" applyNumberFormat="1" applyFont="1" applyFill="1" applyBorder="1" applyAlignment="1">
      <alignment horizontal="right" vertical="center" wrapText="1"/>
    </xf>
    <xf numFmtId="3" fontId="9" fillId="0" borderId="4" xfId="5" applyNumberFormat="1" applyFont="1" applyFill="1" applyBorder="1" applyAlignment="1">
      <alignment horizontal="right" vertical="center" wrapText="1"/>
    </xf>
    <xf numFmtId="3" fontId="12" fillId="0" borderId="11" xfId="0" applyNumberFormat="1" applyFont="1" applyBorder="1" applyAlignment="1">
      <alignment horizontal="left" vertical="center"/>
    </xf>
    <xf numFmtId="3" fontId="12" fillId="0" borderId="12" xfId="0" applyNumberFormat="1" applyFont="1" applyBorder="1" applyAlignment="1">
      <alignment horizontal="left" vertical="center"/>
    </xf>
    <xf numFmtId="3" fontId="11" fillId="0" borderId="12" xfId="0" applyNumberFormat="1" applyFont="1" applyFill="1" applyBorder="1" applyAlignment="1">
      <alignment horizontal="left" vertical="center"/>
    </xf>
    <xf numFmtId="3" fontId="11" fillId="0" borderId="12" xfId="0" applyNumberFormat="1" applyFont="1" applyBorder="1" applyAlignment="1">
      <alignment horizontal="left" vertical="center"/>
    </xf>
    <xf numFmtId="1" fontId="11" fillId="0" borderId="11" xfId="5" applyNumberFormat="1" applyFont="1" applyBorder="1" applyAlignment="1">
      <alignment horizontal="center" vertical="center" wrapText="1"/>
    </xf>
    <xf numFmtId="1" fontId="11" fillId="0" borderId="12" xfId="5" applyNumberFormat="1" applyFont="1" applyBorder="1" applyAlignment="1">
      <alignment horizontal="center" vertical="center" wrapText="1"/>
    </xf>
    <xf numFmtId="1" fontId="11" fillId="0" borderId="4" xfId="5" applyNumberFormat="1" applyFont="1"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3" fillId="17" borderId="19" xfId="0" applyFont="1" applyFill="1" applyBorder="1" applyAlignment="1">
      <alignment horizontal="left" vertical="center" wrapText="1"/>
    </xf>
    <xf numFmtId="0" fontId="13" fillId="17" borderId="18" xfId="0" applyFont="1" applyFill="1" applyBorder="1" applyAlignment="1">
      <alignment horizontal="left"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11" xfId="0" applyFont="1" applyBorder="1" applyAlignment="1">
      <alignment horizontal="right" vertical="center"/>
    </xf>
    <xf numFmtId="0" fontId="9" fillId="0" borderId="4" xfId="0" applyFont="1" applyBorder="1" applyAlignment="1">
      <alignment horizontal="right" vertical="center"/>
    </xf>
    <xf numFmtId="3" fontId="11" fillId="0" borderId="11" xfId="0" applyNumberFormat="1" applyFont="1" applyBorder="1" applyAlignment="1">
      <alignment horizontal="justify" vertical="center"/>
    </xf>
    <xf numFmtId="3" fontId="11" fillId="0" borderId="4" xfId="0" applyNumberFormat="1" applyFont="1" applyBorder="1" applyAlignment="1">
      <alignment horizontal="justify" vertical="center"/>
    </xf>
    <xf numFmtId="0" fontId="9" fillId="0" borderId="12" xfId="0" applyFont="1" applyBorder="1" applyAlignment="1">
      <alignment horizontal="right" vertical="center"/>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4" xfId="0" applyFont="1" applyBorder="1" applyAlignment="1">
      <alignment horizontal="justify" vertical="center" wrapText="1"/>
    </xf>
    <xf numFmtId="1" fontId="11" fillId="0" borderId="11" xfId="5" applyNumberFormat="1" applyFont="1" applyFill="1" applyBorder="1" applyAlignment="1">
      <alignment horizontal="center" vertical="center" wrapText="1"/>
    </xf>
    <xf numFmtId="1" fontId="11" fillId="0" borderId="4" xfId="5" applyNumberFormat="1" applyFont="1" applyFill="1" applyBorder="1" applyAlignment="1">
      <alignment horizontal="center" vertical="center" wrapText="1"/>
    </xf>
    <xf numFmtId="0" fontId="24" fillId="19" borderId="13" xfId="0" applyFont="1" applyFill="1" applyBorder="1" applyAlignment="1">
      <alignment horizontal="left" vertical="center" wrapText="1"/>
    </xf>
    <xf numFmtId="0" fontId="24" fillId="19" borderId="18" xfId="0" applyFont="1" applyFill="1" applyBorder="1" applyAlignment="1">
      <alignment horizontal="left" vertical="center" wrapText="1"/>
    </xf>
    <xf numFmtId="0" fontId="13" fillId="10" borderId="1" xfId="0" applyFont="1" applyFill="1" applyBorder="1" applyAlignment="1">
      <alignment horizontal="left" vertical="center" wrapText="1"/>
    </xf>
    <xf numFmtId="169" fontId="11" fillId="0" borderId="11" xfId="0" applyNumberFormat="1" applyFont="1" applyBorder="1" applyAlignment="1">
      <alignment horizontal="justify" vertical="center" wrapText="1"/>
    </xf>
    <xf numFmtId="169" fontId="11" fillId="0" borderId="12" xfId="0" applyNumberFormat="1" applyFont="1" applyBorder="1" applyAlignment="1">
      <alignment horizontal="justify" vertical="center" wrapText="1"/>
    </xf>
    <xf numFmtId="169" fontId="11" fillId="0" borderId="4" xfId="0" applyNumberFormat="1" applyFont="1" applyBorder="1" applyAlignment="1">
      <alignment horizontal="justify" vertical="center" wrapText="1"/>
    </xf>
    <xf numFmtId="43" fontId="13" fillId="17" borderId="13" xfId="4" applyFont="1" applyFill="1" applyBorder="1" applyAlignment="1">
      <alignment horizontal="left" vertical="center"/>
    </xf>
    <xf numFmtId="43" fontId="13" fillId="17" borderId="18" xfId="4" applyFont="1" applyFill="1" applyBorder="1" applyAlignment="1">
      <alignment horizontal="left" vertical="center"/>
    </xf>
    <xf numFmtId="43" fontId="13" fillId="17" borderId="14" xfId="4" applyFont="1" applyFill="1" applyBorder="1" applyAlignment="1">
      <alignment horizontal="left" vertical="center"/>
    </xf>
    <xf numFmtId="0" fontId="13" fillId="0" borderId="1" xfId="0" applyFont="1" applyBorder="1" applyAlignment="1">
      <alignment horizontal="center" vertical="center" wrapText="1"/>
    </xf>
    <xf numFmtId="0" fontId="9" fillId="0" borderId="1" xfId="0" applyFont="1" applyBorder="1" applyAlignment="1">
      <alignment horizontal="right" vertical="center"/>
    </xf>
    <xf numFmtId="0" fontId="12" fillId="0" borderId="1" xfId="0" applyFont="1" applyBorder="1" applyAlignment="1">
      <alignment horizontal="justify" vertical="center" wrapText="1"/>
    </xf>
    <xf numFmtId="0" fontId="13" fillId="9" borderId="1" xfId="0" applyFont="1" applyFill="1" applyBorder="1" applyAlignment="1">
      <alignment horizontal="left" vertical="center" wrapText="1"/>
    </xf>
    <xf numFmtId="0" fontId="8" fillId="0" borderId="1" xfId="0" applyFont="1" applyBorder="1" applyAlignment="1">
      <alignment horizont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4" fontId="7" fillId="3" borderId="11" xfId="0" applyNumberFormat="1" applyFont="1" applyFill="1" applyBorder="1" applyAlignment="1" applyProtection="1">
      <alignment horizontal="center" vertical="center" wrapText="1"/>
      <protection locked="0"/>
    </xf>
    <xf numFmtId="4" fontId="7" fillId="3" borderId="12" xfId="0" applyNumberFormat="1" applyFont="1" applyFill="1" applyBorder="1" applyAlignment="1" applyProtection="1">
      <alignment horizontal="center" vertical="center" wrapText="1"/>
      <protection locked="0"/>
    </xf>
    <xf numFmtId="4" fontId="7" fillId="3" borderId="4" xfId="0" applyNumberFormat="1" applyFont="1" applyFill="1" applyBorder="1" applyAlignment="1" applyProtection="1">
      <alignment horizontal="center" vertical="center" wrapText="1"/>
      <protection locked="0"/>
    </xf>
    <xf numFmtId="0" fontId="26" fillId="0"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1" fontId="8" fillId="4" borderId="12" xfId="0" applyNumberFormat="1" applyFont="1" applyFill="1" applyBorder="1" applyAlignment="1">
      <alignment horizontal="center" vertical="center" wrapText="1"/>
    </xf>
    <xf numFmtId="9" fontId="9" fillId="2" borderId="11" xfId="1" applyNumberFormat="1" applyFont="1" applyFill="1" applyBorder="1" applyAlignment="1">
      <alignment horizontal="center" vertical="center"/>
    </xf>
    <xf numFmtId="9" fontId="9" fillId="2" borderId="12" xfId="1" applyNumberFormat="1" applyFont="1" applyFill="1" applyBorder="1" applyAlignment="1">
      <alignment horizontal="center" vertical="center"/>
    </xf>
    <xf numFmtId="9" fontId="9" fillId="2" borderId="4" xfId="1" applyNumberFormat="1" applyFont="1" applyFill="1" applyBorder="1" applyAlignment="1">
      <alignment horizontal="center" vertical="center"/>
    </xf>
    <xf numFmtId="0" fontId="9" fillId="0" borderId="1" xfId="0" applyFont="1" applyFill="1" applyBorder="1" applyAlignment="1" applyProtection="1">
      <alignment horizontal="justify" vertical="center" wrapText="1"/>
      <protection locked="0"/>
    </xf>
    <xf numFmtId="4" fontId="7" fillId="3" borderId="11" xfId="0" applyNumberFormat="1" applyFont="1" applyFill="1" applyBorder="1" applyAlignment="1" applyProtection="1">
      <alignment horizontal="left" vertical="center" wrapText="1"/>
      <protection locked="0"/>
    </xf>
    <xf numFmtId="4" fontId="7" fillId="3" borderId="12" xfId="0" applyNumberFormat="1" applyFont="1" applyFill="1" applyBorder="1" applyAlignment="1" applyProtection="1">
      <alignment horizontal="left" vertical="center" wrapText="1"/>
      <protection locked="0"/>
    </xf>
    <xf numFmtId="4" fontId="7" fillId="3" borderId="4" xfId="0" applyNumberFormat="1" applyFont="1" applyFill="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locked="0"/>
    </xf>
    <xf numFmtId="1" fontId="8" fillId="4" borderId="1" xfId="0" applyNumberFormat="1" applyFont="1" applyFill="1" applyBorder="1" applyAlignment="1">
      <alignment horizontal="center" vertical="center" wrapText="1"/>
    </xf>
    <xf numFmtId="1" fontId="8" fillId="4" borderId="11" xfId="0" applyNumberFormat="1" applyFont="1" applyFill="1" applyBorder="1" applyAlignment="1">
      <alignment horizontal="center" vertical="center" wrapText="1"/>
    </xf>
    <xf numFmtId="0" fontId="8" fillId="2" borderId="13" xfId="0" applyFont="1" applyFill="1" applyBorder="1" applyAlignment="1">
      <alignment horizontal="justify" vertical="center" wrapText="1"/>
    </xf>
    <xf numFmtId="0" fontId="8" fillId="2" borderId="14" xfId="0" applyFont="1" applyFill="1" applyBorder="1" applyAlignment="1">
      <alignment horizontal="center" vertical="center" wrapText="1"/>
    </xf>
    <xf numFmtId="0" fontId="26" fillId="25" borderId="1" xfId="0" applyFont="1" applyFill="1" applyBorder="1" applyAlignment="1">
      <alignment horizontal="center" vertical="center" wrapText="1"/>
    </xf>
    <xf numFmtId="0" fontId="26" fillId="25" borderId="1" xfId="0" applyFont="1" applyFill="1" applyBorder="1" applyAlignment="1">
      <alignment horizontal="justify" vertical="center" wrapText="1"/>
    </xf>
    <xf numFmtId="0" fontId="26"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6" fillId="25" borderId="11" xfId="0" applyFont="1" applyFill="1" applyBorder="1" applyAlignment="1">
      <alignment horizontal="center" vertical="center" wrapText="1"/>
    </xf>
    <xf numFmtId="0" fontId="26" fillId="25" borderId="12" xfId="0" applyFont="1" applyFill="1" applyBorder="1" applyAlignment="1">
      <alignment horizontal="center" vertical="center" wrapText="1"/>
    </xf>
    <xf numFmtId="0" fontId="26" fillId="25" borderId="11" xfId="0" applyFont="1" applyFill="1" applyBorder="1" applyAlignment="1">
      <alignment horizontal="justify" vertical="center" wrapText="1"/>
    </xf>
    <xf numFmtId="0" fontId="26" fillId="25" borderId="12" xfId="0" applyFont="1" applyFill="1" applyBorder="1" applyAlignment="1">
      <alignment horizontal="justify" vertical="center" wrapText="1"/>
    </xf>
    <xf numFmtId="0" fontId="26" fillId="25" borderId="11" xfId="0" applyFont="1" applyFill="1" applyBorder="1" applyAlignment="1">
      <alignment vertical="center" wrapText="1"/>
    </xf>
    <xf numFmtId="0" fontId="26" fillId="25" borderId="12" xfId="0" applyFont="1" applyFill="1" applyBorder="1" applyAlignment="1">
      <alignment vertical="center" wrapText="1"/>
    </xf>
    <xf numFmtId="0" fontId="26" fillId="0" borderId="1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2" borderId="12" xfId="0" applyFont="1" applyFill="1" applyBorder="1" applyAlignment="1">
      <alignment horizontal="justify" vertical="center" wrapText="1"/>
    </xf>
    <xf numFmtId="0" fontId="8" fillId="2" borderId="11" xfId="0" applyFont="1" applyFill="1" applyBorder="1" applyAlignment="1">
      <alignment horizontal="justify" vertical="center" wrapText="1"/>
    </xf>
    <xf numFmtId="0" fontId="8" fillId="2" borderId="4" xfId="0" applyFont="1" applyFill="1" applyBorder="1" applyAlignment="1">
      <alignment horizontal="justify" vertical="center" wrapText="1"/>
    </xf>
    <xf numFmtId="0" fontId="9" fillId="0" borderId="5" xfId="0" applyFont="1" applyFill="1" applyBorder="1" applyAlignment="1" applyProtection="1">
      <alignment horizontal="justify" vertical="center" wrapText="1"/>
      <protection locked="0"/>
    </xf>
    <xf numFmtId="0" fontId="9" fillId="0" borderId="7" xfId="0" applyFont="1" applyFill="1" applyBorder="1" applyAlignment="1" applyProtection="1">
      <alignment horizontal="justify" vertical="center" wrapText="1"/>
      <protection locked="0"/>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0" borderId="2" xfId="0" applyFont="1" applyFill="1" applyBorder="1" applyAlignment="1" applyProtection="1">
      <alignment horizontal="justify" vertical="center" wrapText="1"/>
      <protection locked="0"/>
    </xf>
    <xf numFmtId="0" fontId="9" fillId="0" borderId="3" xfId="0" applyFont="1" applyFill="1" applyBorder="1" applyAlignment="1" applyProtection="1">
      <alignment horizontal="justify" vertical="center" wrapText="1"/>
      <protection locked="0"/>
    </xf>
    <xf numFmtId="0" fontId="9" fillId="0" borderId="0" xfId="0" applyFont="1" applyAlignment="1">
      <alignment horizontal="left" vertical="top" wrapText="1"/>
    </xf>
    <xf numFmtId="3" fontId="9" fillId="0" borderId="1" xfId="0" applyNumberFormat="1" applyFont="1" applyFill="1" applyBorder="1" applyAlignment="1" applyProtection="1">
      <alignment horizontal="justify" vertical="center" wrapText="1"/>
      <protection locked="0"/>
    </xf>
    <xf numFmtId="0" fontId="7" fillId="0" borderId="1" xfId="0" applyFont="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6" fillId="25"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1" fontId="8" fillId="4" borderId="4" xfId="0" applyNumberFormat="1" applyFont="1" applyFill="1" applyBorder="1" applyAlignment="1">
      <alignment horizontal="center" vertical="center" wrapText="1"/>
    </xf>
    <xf numFmtId="0" fontId="28" fillId="0" borderId="0" xfId="0" applyFont="1" applyBorder="1" applyAlignment="1">
      <alignment horizontal="left" vertical="top" wrapText="1"/>
    </xf>
    <xf numFmtId="0" fontId="28" fillId="0" borderId="0" xfId="0" applyFont="1" applyBorder="1" applyAlignment="1">
      <alignment horizontal="center" vertical="top" wrapText="1"/>
    </xf>
    <xf numFmtId="4" fontId="8" fillId="0" borderId="0" xfId="0" applyNumberFormat="1" applyFont="1" applyBorder="1" applyAlignment="1">
      <alignment horizontal="left" vertical="center" wrapText="1"/>
    </xf>
    <xf numFmtId="0" fontId="17" fillId="2" borderId="11" xfId="0" applyFont="1" applyFill="1" applyBorder="1" applyAlignment="1">
      <alignment horizontal="justify" vertical="center" wrapText="1"/>
    </xf>
    <xf numFmtId="0" fontId="17" fillId="2" borderId="12" xfId="0" applyFont="1" applyFill="1" applyBorder="1" applyAlignment="1">
      <alignment horizontal="justify" vertical="center" wrapText="1"/>
    </xf>
    <xf numFmtId="0" fontId="17" fillId="2" borderId="4" xfId="0" applyFont="1" applyFill="1" applyBorder="1" applyAlignment="1">
      <alignment horizontal="justify" vertical="center" wrapText="1"/>
    </xf>
    <xf numFmtId="3" fontId="17" fillId="2" borderId="11" xfId="0" applyNumberFormat="1" applyFont="1" applyFill="1" applyBorder="1" applyAlignment="1">
      <alignment horizontal="justify" vertical="center" wrapText="1"/>
    </xf>
    <xf numFmtId="3" fontId="17" fillId="2" borderId="12" xfId="0" applyNumberFormat="1" applyFont="1" applyFill="1" applyBorder="1" applyAlignment="1">
      <alignment horizontal="justify" vertical="center" wrapText="1"/>
    </xf>
    <xf numFmtId="3" fontId="17" fillId="2" borderId="4" xfId="0" applyNumberFormat="1" applyFont="1" applyFill="1" applyBorder="1" applyAlignment="1">
      <alignment horizontal="justify" vertical="center" wrapText="1"/>
    </xf>
    <xf numFmtId="0" fontId="17" fillId="0" borderId="11" xfId="0" applyFont="1" applyBorder="1" applyAlignment="1">
      <alignment horizontal="left" vertical="center" wrapText="1"/>
    </xf>
    <xf numFmtId="0" fontId="17" fillId="0" borderId="4"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4" xfId="0" applyFont="1" applyFill="1" applyBorder="1" applyAlignment="1">
      <alignment horizontal="center" vertical="center" wrapText="1"/>
    </xf>
    <xf numFmtId="173" fontId="17" fillId="2" borderId="11" xfId="0" applyNumberFormat="1" applyFont="1" applyFill="1" applyBorder="1" applyAlignment="1">
      <alignment horizontal="center" vertical="center" wrapText="1"/>
    </xf>
    <xf numFmtId="173" fontId="17" fillId="2" borderId="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justify" vertical="center" wrapText="1"/>
    </xf>
    <xf numFmtId="9" fontId="17" fillId="0" borderId="11" xfId="0" applyNumberFormat="1" applyFont="1" applyBorder="1" applyAlignment="1">
      <alignment horizontal="center" vertical="center" wrapText="1"/>
    </xf>
    <xf numFmtId="9" fontId="17" fillId="0" borderId="12" xfId="0" applyNumberFormat="1" applyFont="1" applyBorder="1" applyAlignment="1">
      <alignment horizontal="center" vertical="center" wrapText="1"/>
    </xf>
    <xf numFmtId="9" fontId="17" fillId="0" borderId="4" xfId="0" applyNumberFormat="1" applyFont="1" applyBorder="1" applyAlignment="1">
      <alignment horizontal="center" vertical="center" wrapText="1"/>
    </xf>
    <xf numFmtId="173" fontId="17" fillId="2" borderId="12" xfId="0" applyNumberFormat="1" applyFont="1" applyFill="1" applyBorder="1" applyAlignment="1">
      <alignment horizontal="center" vertical="center" wrapText="1"/>
    </xf>
    <xf numFmtId="173" fontId="17" fillId="2" borderId="1" xfId="0" applyNumberFormat="1" applyFont="1" applyFill="1" applyBorder="1" applyAlignment="1">
      <alignment horizontal="center" vertical="center" wrapText="1"/>
    </xf>
    <xf numFmtId="0" fontId="17" fillId="2" borderId="26" xfId="0" applyFont="1" applyFill="1" applyBorder="1" applyAlignment="1">
      <alignment horizontal="justify" vertical="center" wrapText="1"/>
    </xf>
    <xf numFmtId="173" fontId="17" fillId="2" borderId="26" xfId="0" applyNumberFormat="1" applyFont="1" applyFill="1" applyBorder="1" applyAlignment="1">
      <alignment horizontal="center" vertical="center" wrapText="1"/>
    </xf>
    <xf numFmtId="1" fontId="17" fillId="2" borderId="11" xfId="0" applyNumberFormat="1" applyFont="1" applyFill="1" applyBorder="1" applyAlignment="1">
      <alignment horizontal="center" vertical="center" wrapText="1"/>
    </xf>
    <xf numFmtId="1" fontId="17" fillId="2" borderId="4" xfId="0" applyNumberFormat="1"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11" xfId="0" applyFont="1" applyFill="1" applyBorder="1" applyAlignment="1">
      <alignment horizontal="justify" vertical="top" wrapText="1"/>
    </xf>
    <xf numFmtId="0" fontId="17" fillId="2" borderId="26" xfId="0" applyFont="1" applyFill="1" applyBorder="1" applyAlignment="1">
      <alignment horizontal="justify" vertical="top" wrapText="1"/>
    </xf>
    <xf numFmtId="9" fontId="17" fillId="2" borderId="11" xfId="0" applyNumberFormat="1" applyFont="1" applyFill="1" applyBorder="1" applyAlignment="1">
      <alignment horizontal="center" vertical="center" wrapText="1"/>
    </xf>
    <xf numFmtId="9" fontId="17" fillId="2" borderId="26" xfId="0" applyNumberFormat="1" applyFont="1" applyFill="1" applyBorder="1" applyAlignment="1">
      <alignment horizontal="center"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1" fontId="15" fillId="2" borderId="5" xfId="0" applyNumberFormat="1" applyFont="1" applyFill="1" applyBorder="1" applyAlignment="1">
      <alignment horizontal="center" vertical="center" wrapText="1"/>
    </xf>
    <xf numFmtId="1" fontId="15" fillId="2" borderId="6" xfId="0" applyNumberFormat="1" applyFont="1" applyFill="1" applyBorder="1" applyAlignment="1">
      <alignment horizontal="center" vertical="center" wrapText="1"/>
    </xf>
    <xf numFmtId="1" fontId="15" fillId="2" borderId="2" xfId="0" applyNumberFormat="1" applyFont="1" applyFill="1" applyBorder="1" applyAlignment="1">
      <alignment horizontal="center" vertical="center" wrapText="1"/>
    </xf>
    <xf numFmtId="1" fontId="15" fillId="2" borderId="0" xfId="0" applyNumberFormat="1"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0" borderId="12" xfId="0" applyFont="1" applyBorder="1" applyAlignment="1">
      <alignment horizontal="center" vertical="center" wrapText="1"/>
    </xf>
    <xf numFmtId="1" fontId="17" fillId="2" borderId="12" xfId="0" applyNumberFormat="1" applyFont="1" applyFill="1" applyBorder="1" applyAlignment="1">
      <alignment horizontal="center" vertical="center" wrapText="1"/>
    </xf>
    <xf numFmtId="0" fontId="35" fillId="0" borderId="0" xfId="0" applyFont="1" applyAlignment="1">
      <alignment horizontal="center" vertical="top" wrapText="1"/>
    </xf>
    <xf numFmtId="0" fontId="29" fillId="0" borderId="0" xfId="0" applyFont="1" applyBorder="1" applyAlignment="1">
      <alignment horizontal="center" vertical="top" wrapText="1"/>
    </xf>
    <xf numFmtId="0" fontId="11" fillId="2" borderId="1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8" fillId="21" borderId="1" xfId="0" applyFont="1" applyFill="1" applyBorder="1" applyAlignment="1">
      <alignment horizontal="center" vertical="center" textRotation="90" wrapText="1"/>
    </xf>
    <xf numFmtId="0" fontId="38" fillId="28" borderId="1" xfId="0"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0" fontId="17" fillId="2" borderId="5" xfId="0" applyFont="1" applyFill="1" applyBorder="1" applyAlignment="1">
      <alignment horizontal="center"/>
    </xf>
    <xf numFmtId="0" fontId="17" fillId="2" borderId="2" xfId="0" applyFont="1" applyFill="1" applyBorder="1" applyAlignment="1">
      <alignment horizontal="center"/>
    </xf>
    <xf numFmtId="169" fontId="17" fillId="2" borderId="11" xfId="9" applyNumberFormat="1" applyFont="1" applyFill="1" applyBorder="1" applyAlignment="1">
      <alignment horizontal="center" vertical="center" wrapText="1"/>
    </xf>
    <xf numFmtId="169" fontId="17" fillId="2" borderId="12" xfId="9" applyNumberFormat="1" applyFont="1" applyFill="1" applyBorder="1" applyAlignment="1">
      <alignment horizontal="center" vertical="center" wrapText="1"/>
    </xf>
    <xf numFmtId="9" fontId="17" fillId="2" borderId="11" xfId="1" applyFont="1" applyFill="1" applyBorder="1" applyAlignment="1">
      <alignment horizontal="center" vertical="center" wrapText="1"/>
    </xf>
    <xf numFmtId="9" fontId="17" fillId="2" borderId="12" xfId="1" applyFont="1" applyFill="1" applyBorder="1" applyAlignment="1">
      <alignment horizontal="center" vertical="center" wrapText="1"/>
    </xf>
    <xf numFmtId="0" fontId="39" fillId="0" borderId="22" xfId="0" applyFont="1" applyBorder="1" applyAlignment="1">
      <alignment horizontal="center" vertical="center" wrapText="1"/>
    </xf>
    <xf numFmtId="0" fontId="39" fillId="0" borderId="0" xfId="0" applyFont="1" applyAlignment="1">
      <alignment horizontal="center" vertical="center" wrapText="1"/>
    </xf>
    <xf numFmtId="0" fontId="39" fillId="0" borderId="3"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28" fillId="0" borderId="13" xfId="0" applyFont="1" applyBorder="1" applyAlignment="1">
      <alignment horizontal="center" vertical="center"/>
    </xf>
    <xf numFmtId="0" fontId="28" fillId="0" borderId="18" xfId="0" applyFont="1" applyBorder="1" applyAlignment="1">
      <alignment horizontal="center" vertical="center"/>
    </xf>
    <xf numFmtId="0" fontId="28" fillId="0" borderId="25" xfId="0" applyFont="1" applyBorder="1" applyAlignment="1">
      <alignment horizontal="center" vertical="center"/>
    </xf>
    <xf numFmtId="0" fontId="28" fillId="0" borderId="14" xfId="0" applyFont="1" applyBorder="1" applyAlignment="1">
      <alignment horizontal="center" vertical="center"/>
    </xf>
    <xf numFmtId="0" fontId="28" fillId="21" borderId="5" xfId="0" applyFont="1" applyFill="1" applyBorder="1" applyAlignment="1">
      <alignment horizontal="center" vertical="center" wrapText="1"/>
    </xf>
    <xf numFmtId="0" fontId="28" fillId="21" borderId="6" xfId="0" applyFont="1" applyFill="1" applyBorder="1" applyAlignment="1">
      <alignment horizontal="center" vertical="center" wrapText="1"/>
    </xf>
    <xf numFmtId="0" fontId="28" fillId="21" borderId="7" xfId="0" applyFont="1" applyFill="1" applyBorder="1" applyAlignment="1">
      <alignment horizontal="center" vertical="center" wrapText="1"/>
    </xf>
    <xf numFmtId="0" fontId="28" fillId="21" borderId="2" xfId="0" applyFont="1" applyFill="1" applyBorder="1" applyAlignment="1">
      <alignment horizontal="center" vertical="center" wrapText="1"/>
    </xf>
    <xf numFmtId="0" fontId="28" fillId="21" borderId="0" xfId="0" applyFont="1" applyFill="1" applyAlignment="1">
      <alignment horizontal="center" vertical="center" wrapText="1"/>
    </xf>
    <xf numFmtId="0" fontId="28" fillId="21" borderId="3" xfId="0" applyFont="1" applyFill="1" applyBorder="1" applyAlignment="1">
      <alignment horizontal="center" vertical="center" wrapText="1"/>
    </xf>
    <xf numFmtId="0" fontId="28" fillId="21" borderId="11" xfId="0" applyFont="1" applyFill="1" applyBorder="1" applyAlignment="1">
      <alignment horizontal="center" vertical="center" wrapText="1"/>
    </xf>
    <xf numFmtId="0" fontId="28" fillId="21" borderId="12" xfId="0" applyFont="1" applyFill="1" applyBorder="1" applyAlignment="1">
      <alignment horizontal="center" vertical="center" wrapText="1"/>
    </xf>
    <xf numFmtId="0" fontId="28" fillId="21" borderId="4" xfId="0" applyFont="1" applyFill="1" applyBorder="1" applyAlignment="1">
      <alignment horizontal="center" vertical="center" wrapText="1"/>
    </xf>
    <xf numFmtId="0" fontId="28" fillId="21" borderId="1" xfId="0" applyFont="1" applyFill="1" applyBorder="1" applyAlignment="1">
      <alignment horizontal="center" vertical="center" wrapText="1"/>
    </xf>
    <xf numFmtId="3" fontId="7" fillId="22" borderId="13" xfId="0" applyNumberFormat="1" applyFont="1" applyFill="1" applyBorder="1" applyAlignment="1">
      <alignment horizontal="center" vertical="center" wrapText="1"/>
    </xf>
    <xf numFmtId="3" fontId="7" fillId="22" borderId="18" xfId="0" applyNumberFormat="1" applyFont="1" applyFill="1" applyBorder="1" applyAlignment="1">
      <alignment horizontal="center" vertical="center" wrapText="1"/>
    </xf>
    <xf numFmtId="3" fontId="7" fillId="22" borderId="14" xfId="0" applyNumberFormat="1" applyFont="1" applyFill="1" applyBorder="1" applyAlignment="1">
      <alignment horizontal="center" vertical="center" wrapText="1"/>
    </xf>
    <xf numFmtId="0" fontId="7" fillId="22" borderId="13" xfId="0" applyFont="1" applyFill="1" applyBorder="1" applyAlignment="1">
      <alignment horizontal="center" vertical="center" wrapText="1"/>
    </xf>
    <xf numFmtId="0" fontId="7" fillId="22" borderId="18" xfId="0" applyFont="1" applyFill="1" applyBorder="1" applyAlignment="1">
      <alignment horizontal="center" vertical="center" wrapText="1"/>
    </xf>
    <xf numFmtId="0" fontId="7" fillId="22" borderId="14" xfId="0" applyFont="1" applyFill="1" applyBorder="1" applyAlignment="1">
      <alignment horizontal="center" vertical="center" wrapText="1"/>
    </xf>
    <xf numFmtId="0" fontId="7" fillId="22" borderId="13" xfId="0" applyFont="1" applyFill="1" applyBorder="1" applyAlignment="1">
      <alignment horizontal="center" vertical="center"/>
    </xf>
    <xf numFmtId="0" fontId="7" fillId="22" borderId="18" xfId="0" applyFont="1" applyFill="1" applyBorder="1" applyAlignment="1">
      <alignment horizontal="center" vertical="center"/>
    </xf>
    <xf numFmtId="0" fontId="7" fillId="22" borderId="14" xfId="0" applyFont="1" applyFill="1" applyBorder="1" applyAlignment="1">
      <alignment horizontal="center" vertical="center"/>
    </xf>
    <xf numFmtId="0" fontId="7" fillId="22" borderId="5" xfId="0" applyFont="1" applyFill="1" applyBorder="1" applyAlignment="1">
      <alignment horizontal="center" vertical="center" textRotation="90" wrapText="1"/>
    </xf>
    <xf numFmtId="0" fontId="7" fillId="22" borderId="7" xfId="0" applyFont="1" applyFill="1" applyBorder="1" applyAlignment="1">
      <alignment horizontal="center" vertical="center" textRotation="90" wrapText="1"/>
    </xf>
    <xf numFmtId="0" fontId="7" fillId="22" borderId="8" xfId="0" applyFont="1" applyFill="1" applyBorder="1" applyAlignment="1">
      <alignment horizontal="center" vertical="center" textRotation="90" wrapText="1"/>
    </xf>
    <xf numFmtId="0" fontId="7" fillId="22" borderId="10" xfId="0" applyFont="1" applyFill="1" applyBorder="1" applyAlignment="1">
      <alignment horizontal="center" vertical="center" textRotation="90" wrapText="1"/>
    </xf>
    <xf numFmtId="175" fontId="28" fillId="21" borderId="27" xfId="12" applyFont="1" applyFill="1" applyBorder="1" applyAlignment="1">
      <alignment horizontal="center" vertical="center"/>
    </xf>
    <xf numFmtId="175" fontId="28" fillId="21" borderId="28" xfId="12" applyFont="1" applyFill="1" applyBorder="1" applyAlignment="1">
      <alignment horizontal="center" vertical="center"/>
    </xf>
    <xf numFmtId="175" fontId="28" fillId="21" borderId="29" xfId="12" applyFont="1" applyFill="1" applyBorder="1" applyAlignment="1">
      <alignment horizontal="center" vertical="center"/>
    </xf>
    <xf numFmtId="181" fontId="28" fillId="21" borderId="5" xfId="0" applyNumberFormat="1" applyFont="1" applyFill="1" applyBorder="1" applyAlignment="1">
      <alignment horizontal="center" vertical="center" wrapText="1"/>
    </xf>
    <xf numFmtId="181" fontId="28" fillId="21" borderId="7" xfId="0" applyNumberFormat="1" applyFont="1" applyFill="1" applyBorder="1" applyAlignment="1">
      <alignment horizontal="center" vertical="center" wrapText="1"/>
    </xf>
    <xf numFmtId="181" fontId="28" fillId="21" borderId="8" xfId="0" applyNumberFormat="1" applyFont="1" applyFill="1" applyBorder="1" applyAlignment="1">
      <alignment horizontal="center" vertical="center" wrapText="1"/>
    </xf>
    <xf numFmtId="181" fontId="28" fillId="21" borderId="10" xfId="0" applyNumberFormat="1" applyFont="1" applyFill="1" applyBorder="1" applyAlignment="1">
      <alignment horizontal="center" vertical="center" wrapText="1"/>
    </xf>
    <xf numFmtId="3" fontId="28" fillId="21" borderId="15" xfId="0" applyNumberFormat="1" applyFont="1" applyFill="1" applyBorder="1" applyAlignment="1">
      <alignment horizontal="center" vertical="center" wrapText="1"/>
    </xf>
    <xf numFmtId="174" fontId="17" fillId="2" borderId="11" xfId="0" applyNumberFormat="1" applyFont="1" applyFill="1" applyBorder="1" applyAlignment="1">
      <alignment horizontal="center" vertical="center" wrapText="1"/>
    </xf>
    <xf numFmtId="174" fontId="17" fillId="2" borderId="12" xfId="0" applyNumberFormat="1" applyFont="1" applyFill="1" applyBorder="1" applyAlignment="1">
      <alignment horizontal="center" vertical="center" wrapText="1"/>
    </xf>
    <xf numFmtId="174" fontId="17" fillId="2" borderId="11" xfId="0" applyNumberFormat="1" applyFont="1" applyFill="1" applyBorder="1" applyAlignment="1">
      <alignment horizontal="justify" vertical="center" wrapText="1"/>
    </xf>
    <xf numFmtId="174" fontId="17" fillId="2" borderId="12" xfId="0" applyNumberFormat="1" applyFont="1" applyFill="1" applyBorder="1" applyAlignment="1">
      <alignment horizontal="justify" vertical="center" wrapText="1"/>
    </xf>
    <xf numFmtId="43" fontId="9" fillId="2" borderId="11" xfId="9" applyFont="1" applyFill="1" applyBorder="1" applyAlignment="1">
      <alignment horizontal="center" vertical="center" wrapText="1"/>
    </xf>
    <xf numFmtId="43" fontId="9" fillId="2" borderId="4" xfId="9" applyFont="1" applyFill="1" applyBorder="1" applyAlignment="1">
      <alignment horizontal="center" vertical="center" wrapText="1"/>
    </xf>
    <xf numFmtId="3" fontId="17" fillId="2" borderId="11" xfId="0" applyNumberFormat="1" applyFont="1" applyFill="1" applyBorder="1" applyAlignment="1">
      <alignment horizontal="center" vertical="center" wrapText="1"/>
    </xf>
    <xf numFmtId="3" fontId="17" fillId="2" borderId="12" xfId="0" applyNumberFormat="1" applyFont="1" applyFill="1" applyBorder="1" applyAlignment="1">
      <alignment horizontal="center" vertical="center" wrapText="1"/>
    </xf>
    <xf numFmtId="0" fontId="17" fillId="0" borderId="11" xfId="0" applyFont="1" applyBorder="1" applyAlignment="1">
      <alignment horizontal="center" vertical="center" wrapText="1"/>
    </xf>
    <xf numFmtId="174" fontId="17" fillId="2" borderId="4" xfId="0" applyNumberFormat="1" applyFont="1" applyFill="1" applyBorder="1" applyAlignment="1">
      <alignment horizontal="center" vertical="center" wrapText="1"/>
    </xf>
    <xf numFmtId="3" fontId="17" fillId="2" borderId="1" xfId="0" applyNumberFormat="1" applyFont="1" applyFill="1" applyBorder="1" applyAlignment="1">
      <alignment horizontal="justify" vertical="center" wrapText="1"/>
    </xf>
    <xf numFmtId="9" fontId="17" fillId="2" borderId="1" xfId="1" applyFont="1" applyFill="1" applyBorder="1" applyAlignment="1">
      <alignment horizontal="center" vertical="center" wrapText="1"/>
    </xf>
    <xf numFmtId="174" fontId="17" fillId="2" borderId="1" xfId="0" applyNumberFormat="1" applyFont="1" applyFill="1" applyBorder="1" applyAlignment="1">
      <alignment horizontal="center" vertical="center" wrapText="1"/>
    </xf>
    <xf numFmtId="1" fontId="17" fillId="2" borderId="1" xfId="0" applyNumberFormat="1" applyFont="1" applyFill="1" applyBorder="1" applyAlignment="1">
      <alignment horizontal="center"/>
    </xf>
    <xf numFmtId="3" fontId="17" fillId="2" borderId="7" xfId="0" applyNumberFormat="1" applyFont="1" applyFill="1" applyBorder="1" applyAlignment="1">
      <alignment horizontal="center" vertical="center" wrapText="1"/>
    </xf>
    <xf numFmtId="3" fontId="17" fillId="2" borderId="10" xfId="0" applyNumberFormat="1" applyFont="1" applyFill="1" applyBorder="1" applyAlignment="1">
      <alignment horizontal="center" vertical="center" wrapText="1"/>
    </xf>
    <xf numFmtId="3" fontId="17" fillId="2" borderId="4" xfId="0" applyNumberFormat="1" applyFont="1" applyFill="1" applyBorder="1" applyAlignment="1">
      <alignment horizontal="center" vertical="center" wrapText="1"/>
    </xf>
    <xf numFmtId="9" fontId="17" fillId="2" borderId="4" xfId="1" applyFont="1" applyFill="1" applyBorder="1" applyAlignment="1">
      <alignment horizontal="center" vertical="center" wrapText="1"/>
    </xf>
    <xf numFmtId="3" fontId="38" fillId="28" borderId="1" xfId="0" applyNumberFormat="1" applyFont="1" applyFill="1" applyBorder="1" applyAlignment="1">
      <alignment horizontal="center" vertical="center" wrapText="1"/>
    </xf>
    <xf numFmtId="9" fontId="38" fillId="28" borderId="1" xfId="1" applyFont="1" applyFill="1" applyBorder="1" applyAlignment="1">
      <alignment horizontal="center" vertical="center" wrapText="1"/>
    </xf>
    <xf numFmtId="3" fontId="17" fillId="2" borderId="3" xfId="0" applyNumberFormat="1" applyFont="1" applyFill="1" applyBorder="1" applyAlignment="1">
      <alignment horizontal="center" vertical="center" wrapText="1"/>
    </xf>
    <xf numFmtId="0" fontId="28" fillId="21" borderId="13" xfId="0" applyFont="1" applyFill="1" applyBorder="1" applyAlignment="1">
      <alignment horizontal="center" vertical="center" textRotation="90" wrapText="1"/>
    </xf>
    <xf numFmtId="0" fontId="28" fillId="21" borderId="14" xfId="0" applyFont="1" applyFill="1" applyBorder="1" applyAlignment="1">
      <alignment horizontal="center" vertical="center" textRotation="90" wrapText="1"/>
    </xf>
    <xf numFmtId="0" fontId="38" fillId="28" borderId="11" xfId="0" applyFont="1" applyFill="1" applyBorder="1" applyAlignment="1">
      <alignment horizontal="center" vertical="center" wrapText="1"/>
    </xf>
    <xf numFmtId="0" fontId="38" fillId="28" borderId="4" xfId="0" applyFont="1" applyFill="1" applyBorder="1" applyAlignment="1">
      <alignment horizontal="center" vertical="center" wrapText="1"/>
    </xf>
    <xf numFmtId="0" fontId="28" fillId="21" borderId="14" xfId="0" applyFont="1" applyFill="1" applyBorder="1" applyAlignment="1">
      <alignment horizontal="center" vertical="center" textRotation="90"/>
    </xf>
    <xf numFmtId="0" fontId="28" fillId="21" borderId="1" xfId="0" applyFont="1" applyFill="1" applyBorder="1" applyAlignment="1">
      <alignment horizontal="center" vertical="center" textRotation="90"/>
    </xf>
    <xf numFmtId="49" fontId="28" fillId="21" borderId="1" xfId="0" applyNumberFormat="1" applyFont="1" applyFill="1" applyBorder="1" applyAlignment="1">
      <alignment horizontal="center" vertical="center" textRotation="90" wrapText="1"/>
    </xf>
    <xf numFmtId="0" fontId="28" fillId="0" borderId="2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23"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21" borderId="30" xfId="0" applyFont="1" applyFill="1" applyBorder="1" applyAlignment="1">
      <alignment horizontal="center" vertical="center" wrapText="1"/>
    </xf>
    <xf numFmtId="0" fontId="28" fillId="21" borderId="8" xfId="0" applyFont="1" applyFill="1" applyBorder="1" applyAlignment="1">
      <alignment horizontal="center" vertical="center" wrapText="1"/>
    </xf>
    <xf numFmtId="0" fontId="28" fillId="21" borderId="10" xfId="0" applyFont="1" applyFill="1" applyBorder="1" applyAlignment="1">
      <alignment horizontal="center" vertical="center" wrapText="1"/>
    </xf>
    <xf numFmtId="0" fontId="17" fillId="2" borderId="1" xfId="0" applyFont="1" applyFill="1" applyBorder="1" applyAlignment="1">
      <alignment horizontal="center"/>
    </xf>
    <xf numFmtId="0" fontId="17" fillId="0" borderId="1" xfId="0" applyFont="1" applyBorder="1" applyAlignment="1">
      <alignment horizontal="center" vertical="top" wrapText="1"/>
    </xf>
    <xf numFmtId="0" fontId="17" fillId="2" borderId="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3" fontId="17" fillId="2" borderId="1" xfId="0" applyNumberFormat="1" applyFont="1" applyFill="1" applyBorder="1" applyAlignment="1">
      <alignment horizontal="center" vertical="center" wrapText="1"/>
    </xf>
  </cellXfs>
  <cellStyles count="37">
    <cellStyle name="Excel Built-in Normal" xfId="13"/>
    <cellStyle name="Excel Built-in Normal 2" xfId="32"/>
    <cellStyle name="Millares [0] 2" xfId="19"/>
    <cellStyle name="Millares [0] 3" xfId="18"/>
    <cellStyle name="Millares 2" xfId="4"/>
    <cellStyle name="Millares 2 2" xfId="9"/>
    <cellStyle name="Millares 2 3" xfId="29"/>
    <cellStyle name="Millares 3 2" xfId="28"/>
    <cellStyle name="Millares 3 3" xfId="2"/>
    <cellStyle name="Millares 4" xfId="20"/>
    <cellStyle name="Millares 4 2" xfId="26"/>
    <cellStyle name="Millares 6" xfId="34"/>
    <cellStyle name="Moneda [0] 2" xfId="33"/>
    <cellStyle name="Moneda [0] 2 3" xfId="23"/>
    <cellStyle name="Moneda [0] 3" xfId="30"/>
    <cellStyle name="Moneda 2" xfId="6"/>
    <cellStyle name="Moneda 2 2" xfId="16"/>
    <cellStyle name="Moneda 3" xfId="25"/>
    <cellStyle name="Moneda 4" xfId="3"/>
    <cellStyle name="Normal" xfId="0" builtinId="0"/>
    <cellStyle name="Normal 2" xfId="7"/>
    <cellStyle name="Normal 2 2" xfId="15"/>
    <cellStyle name="Normal 2 2 2" xfId="12"/>
    <cellStyle name="Normal 2 2 2 2" xfId="35"/>
    <cellStyle name="Normal 2 2 3" xfId="24"/>
    <cellStyle name="Normal 2 3" xfId="36"/>
    <cellStyle name="Normal 3 2" xfId="8"/>
    <cellStyle name="Normal 4" xfId="14"/>
    <cellStyle name="Normal 7" xfId="31"/>
    <cellStyle name="Porcentaje 2" xfId="5"/>
    <cellStyle name="Porcentaje 2 2" xfId="17"/>
    <cellStyle name="Porcentaje 2 2 2" xfId="21"/>
    <cellStyle name="Porcentaje 2 2 2 2" xfId="22"/>
    <cellStyle name="Porcentaje 2 3" xfId="11"/>
    <cellStyle name="Porcentaje 3 2" xfId="10"/>
    <cellStyle name="Porcentual" xfId="1" builtinId="5"/>
    <cellStyle name="Porcentual 2" xfId="27"/>
  </cellStyles>
  <dxfs count="75">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686916</xdr:colOff>
      <xdr:row>0</xdr:row>
      <xdr:rowOff>79375</xdr:rowOff>
    </xdr:from>
    <xdr:to>
      <xdr:col>1</xdr:col>
      <xdr:colOff>2111376</xdr:colOff>
      <xdr:row>3</xdr:row>
      <xdr:rowOff>142875</xdr:rowOff>
    </xdr:to>
    <xdr:pic>
      <xdr:nvPicPr>
        <xdr:cNvPr id="2" name="1 Imagen">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48916" y="79375"/>
          <a:ext cx="1424460" cy="749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361951</xdr:colOff>
      <xdr:row>0</xdr:row>
      <xdr:rowOff>0</xdr:rowOff>
    </xdr:from>
    <xdr:ext cx="1265850" cy="721364"/>
    <xdr:pic>
      <xdr:nvPicPr>
        <xdr:cNvPr id="2" name="Imagen 1" descr="C:\Users\AUXPLANEACION03\Desktop\Gobernacion_del_quindio.jp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1951" y="0"/>
          <a:ext cx="1265850" cy="72136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B1234"/>
  <sheetViews>
    <sheetView zoomScale="50" zoomScaleNormal="50" workbookViewId="0">
      <pane xSplit="11" ySplit="9" topLeftCell="V600" activePane="bottomRight" state="frozen"/>
      <selection activeCell="A4" sqref="A4"/>
      <selection pane="topRight" activeCell="L4" sqref="L4"/>
      <selection pane="bottomLeft" activeCell="A10" sqref="A10"/>
      <selection pane="bottomRight" activeCell="W608" sqref="W608"/>
    </sheetView>
  </sheetViews>
  <sheetFormatPr baseColWidth="10" defaultColWidth="11.42578125" defaultRowHeight="15.75"/>
  <cols>
    <col min="1" max="1" width="10.5703125" style="766" customWidth="1"/>
    <col min="2" max="2" width="10.140625" style="766" customWidth="1"/>
    <col min="3" max="3" width="8.42578125" style="767" customWidth="1"/>
    <col min="4" max="4" width="17.140625" style="766" customWidth="1"/>
    <col min="5" max="5" width="10.85546875" style="766" customWidth="1"/>
    <col min="6" max="6" width="8.5703125" style="767" customWidth="1"/>
    <col min="7" max="7" width="41.42578125" style="766" bestFit="1" customWidth="1"/>
    <col min="8" max="8" width="22.5703125" style="766" hidden="1" customWidth="1"/>
    <col min="9" max="9" width="22" style="768" customWidth="1"/>
    <col min="10" max="10" width="47.5703125" style="766" customWidth="1"/>
    <col min="11" max="11" width="10.85546875" style="767" customWidth="1"/>
    <col min="12" max="12" width="28.5703125" style="769" customWidth="1"/>
    <col min="13" max="13" width="24.140625" style="769" customWidth="1"/>
    <col min="14" max="14" width="22.5703125" style="769" customWidth="1"/>
    <col min="15" max="16" width="26.42578125" style="769" customWidth="1"/>
    <col min="17" max="17" width="24.85546875" style="769" customWidth="1"/>
    <col min="18" max="18" width="26.85546875" style="758" customWidth="1"/>
    <col min="19" max="19" width="25.140625" style="758" customWidth="1"/>
    <col min="20" max="20" width="23.5703125" style="769" customWidth="1"/>
    <col min="21" max="21" width="24.42578125" style="769" customWidth="1"/>
    <col min="22" max="22" width="25.140625" style="770" customWidth="1"/>
    <col min="23" max="23" width="26.42578125" style="769" customWidth="1"/>
    <col min="24" max="24" width="28.85546875" style="771" customWidth="1"/>
    <col min="25" max="25" width="30.85546875" style="755" customWidth="1"/>
    <col min="26" max="26" width="20.140625" style="4" customWidth="1"/>
    <col min="27" max="27" width="20.5703125" style="4" customWidth="1"/>
    <col min="28" max="28" width="20.42578125" style="4" customWidth="1"/>
    <col min="29" max="16384" width="11.42578125" style="4"/>
  </cols>
  <sheetData>
    <row r="1" spans="1:27" ht="16.5" customHeight="1">
      <c r="A1" s="1065" t="s">
        <v>42</v>
      </c>
      <c r="B1" s="1066"/>
      <c r="C1" s="1066"/>
      <c r="D1" s="1066"/>
      <c r="E1" s="1066"/>
      <c r="F1" s="1066"/>
      <c r="G1" s="1066"/>
      <c r="H1" s="1066"/>
      <c r="I1" s="1066"/>
      <c r="J1" s="1066"/>
      <c r="K1" s="1066"/>
      <c r="L1" s="1066"/>
      <c r="M1" s="1066"/>
      <c r="N1" s="1066"/>
      <c r="O1" s="1066"/>
      <c r="P1" s="1066"/>
      <c r="Q1" s="1066"/>
      <c r="R1" s="1066"/>
      <c r="S1" s="1066"/>
      <c r="T1" s="1066"/>
      <c r="U1" s="1066"/>
      <c r="V1" s="1066"/>
      <c r="W1" s="1"/>
      <c r="X1" s="2" t="s">
        <v>43</v>
      </c>
      <c r="Y1" s="3" t="s">
        <v>44</v>
      </c>
    </row>
    <row r="2" spans="1:27" ht="19.5" customHeight="1">
      <c r="A2" s="1067"/>
      <c r="B2" s="1068"/>
      <c r="C2" s="1068"/>
      <c r="D2" s="1068"/>
      <c r="E2" s="1068"/>
      <c r="F2" s="1068"/>
      <c r="G2" s="1068"/>
      <c r="H2" s="1068"/>
      <c r="I2" s="1068"/>
      <c r="J2" s="1068"/>
      <c r="K2" s="1068"/>
      <c r="L2" s="1068"/>
      <c r="M2" s="1068"/>
      <c r="N2" s="1068"/>
      <c r="O2" s="1068"/>
      <c r="P2" s="1068"/>
      <c r="Q2" s="1068"/>
      <c r="R2" s="1068"/>
      <c r="S2" s="1068"/>
      <c r="T2" s="1068"/>
      <c r="U2" s="1068"/>
      <c r="V2" s="1068"/>
      <c r="W2" s="5"/>
      <c r="X2" s="6" t="s">
        <v>45</v>
      </c>
      <c r="Y2" s="7">
        <v>2</v>
      </c>
    </row>
    <row r="3" spans="1:27" ht="19.5" customHeight="1">
      <c r="A3" s="1067"/>
      <c r="B3" s="1068"/>
      <c r="C3" s="1068"/>
      <c r="D3" s="1068"/>
      <c r="E3" s="1068"/>
      <c r="F3" s="1068"/>
      <c r="G3" s="1068"/>
      <c r="H3" s="1068"/>
      <c r="I3" s="1068"/>
      <c r="J3" s="1068"/>
      <c r="K3" s="1068"/>
      <c r="L3" s="1068"/>
      <c r="M3" s="1068"/>
      <c r="N3" s="1068"/>
      <c r="O3" s="1068"/>
      <c r="P3" s="1068"/>
      <c r="Q3" s="1068"/>
      <c r="R3" s="1068"/>
      <c r="S3" s="1068"/>
      <c r="T3" s="1068"/>
      <c r="U3" s="1068"/>
      <c r="V3" s="1068"/>
      <c r="W3" s="8"/>
      <c r="X3" s="2" t="s">
        <v>46</v>
      </c>
      <c r="Y3" s="9" t="s">
        <v>47</v>
      </c>
    </row>
    <row r="4" spans="1:27" ht="13.5" customHeight="1">
      <c r="A4" s="1069"/>
      <c r="B4" s="1070"/>
      <c r="C4" s="1070"/>
      <c r="D4" s="1070"/>
      <c r="E4" s="1070"/>
      <c r="F4" s="1070"/>
      <c r="G4" s="1070"/>
      <c r="H4" s="1070"/>
      <c r="I4" s="1070"/>
      <c r="J4" s="1070"/>
      <c r="K4" s="1070"/>
      <c r="L4" s="1070"/>
      <c r="M4" s="1070"/>
      <c r="N4" s="1070"/>
      <c r="O4" s="1070"/>
      <c r="P4" s="1070"/>
      <c r="Q4" s="1070"/>
      <c r="R4" s="1070"/>
      <c r="S4" s="1070"/>
      <c r="T4" s="1070"/>
      <c r="U4" s="1070"/>
      <c r="V4" s="1070"/>
      <c r="W4" s="8"/>
      <c r="X4" s="2" t="s">
        <v>48</v>
      </c>
      <c r="Y4" s="10" t="s">
        <v>49</v>
      </c>
    </row>
    <row r="5" spans="1:27" s="22" customFormat="1" ht="85.5" customHeight="1">
      <c r="A5" s="11" t="s">
        <v>50</v>
      </c>
      <c r="B5" s="12" t="s">
        <v>51</v>
      </c>
      <c r="C5" s="1071" t="s">
        <v>52</v>
      </c>
      <c r="D5" s="1071"/>
      <c r="E5" s="13" t="s">
        <v>53</v>
      </c>
      <c r="F5" s="1072" t="s">
        <v>54</v>
      </c>
      <c r="G5" s="1072"/>
      <c r="H5" s="14" t="s">
        <v>55</v>
      </c>
      <c r="I5" s="14" t="s">
        <v>56</v>
      </c>
      <c r="J5" s="14" t="s">
        <v>57</v>
      </c>
      <c r="K5" s="14" t="s">
        <v>58</v>
      </c>
      <c r="L5" s="15" t="s">
        <v>59</v>
      </c>
      <c r="M5" s="15" t="s">
        <v>60</v>
      </c>
      <c r="N5" s="15" t="s">
        <v>61</v>
      </c>
      <c r="O5" s="15" t="s">
        <v>62</v>
      </c>
      <c r="P5" s="15" t="s">
        <v>63</v>
      </c>
      <c r="Q5" s="15" t="s">
        <v>64</v>
      </c>
      <c r="R5" s="15" t="s">
        <v>65</v>
      </c>
      <c r="S5" s="15" t="s">
        <v>66</v>
      </c>
      <c r="T5" s="15" t="s">
        <v>67</v>
      </c>
      <c r="U5" s="15" t="s">
        <v>68</v>
      </c>
      <c r="V5" s="16" t="s">
        <v>69</v>
      </c>
      <c r="W5" s="17" t="s">
        <v>70</v>
      </c>
      <c r="X5" s="18" t="s">
        <v>71</v>
      </c>
      <c r="Y5" s="19" t="s">
        <v>72</v>
      </c>
      <c r="Z5" s="20" t="s">
        <v>73</v>
      </c>
      <c r="AA5" s="21" t="s">
        <v>74</v>
      </c>
    </row>
    <row r="6" spans="1:27" s="29" customFormat="1" ht="25.5" customHeight="1">
      <c r="A6" s="23" t="s">
        <v>75</v>
      </c>
      <c r="B6" s="24"/>
      <c r="C6" s="25"/>
      <c r="D6" s="24"/>
      <c r="E6" s="24"/>
      <c r="F6" s="25"/>
      <c r="G6" s="24"/>
      <c r="H6" s="24"/>
      <c r="I6" s="26"/>
      <c r="J6" s="24"/>
      <c r="K6" s="25"/>
      <c r="L6" s="27"/>
      <c r="M6" s="27"/>
      <c r="N6" s="27"/>
      <c r="O6" s="27"/>
      <c r="P6" s="27"/>
      <c r="Q6" s="27"/>
      <c r="R6" s="27"/>
      <c r="S6" s="27"/>
      <c r="T6" s="27"/>
      <c r="U6" s="27"/>
      <c r="V6" s="27"/>
      <c r="W6" s="27"/>
      <c r="X6" s="27"/>
      <c r="Y6" s="28"/>
    </row>
    <row r="7" spans="1:27" s="29" customFormat="1" ht="21" customHeight="1">
      <c r="A7" s="11">
        <v>5</v>
      </c>
      <c r="B7" s="30" t="s">
        <v>76</v>
      </c>
      <c r="C7" s="31"/>
      <c r="D7" s="30"/>
      <c r="E7" s="30"/>
      <c r="F7" s="31"/>
      <c r="G7" s="30"/>
      <c r="H7" s="30"/>
      <c r="I7" s="32"/>
      <c r="J7" s="30"/>
      <c r="K7" s="30"/>
      <c r="L7" s="30"/>
      <c r="M7" s="30"/>
      <c r="N7" s="30"/>
      <c r="O7" s="30"/>
      <c r="P7" s="30"/>
      <c r="Q7" s="30"/>
      <c r="R7" s="30"/>
      <c r="S7" s="30"/>
      <c r="T7" s="30"/>
      <c r="U7" s="30"/>
      <c r="V7" s="30"/>
      <c r="W7" s="30"/>
      <c r="X7" s="30"/>
      <c r="Y7" s="33"/>
    </row>
    <row r="8" spans="1:27" s="29" customFormat="1" ht="21.75" customHeight="1">
      <c r="A8" s="34"/>
      <c r="B8" s="35">
        <v>28</v>
      </c>
      <c r="C8" s="36" t="s">
        <v>77</v>
      </c>
      <c r="D8" s="37"/>
      <c r="E8" s="37"/>
      <c r="F8" s="38"/>
      <c r="G8" s="37"/>
      <c r="H8" s="37"/>
      <c r="I8" s="39"/>
      <c r="J8" s="37"/>
      <c r="K8" s="37"/>
      <c r="L8" s="37"/>
      <c r="M8" s="37"/>
      <c r="N8" s="37"/>
      <c r="O8" s="37"/>
      <c r="P8" s="37"/>
      <c r="Q8" s="37"/>
      <c r="R8" s="37"/>
      <c r="S8" s="37"/>
      <c r="T8" s="37"/>
      <c r="U8" s="37"/>
      <c r="V8" s="37"/>
      <c r="W8" s="37"/>
      <c r="X8" s="37"/>
      <c r="Y8" s="40"/>
    </row>
    <row r="9" spans="1:27" s="29" customFormat="1" ht="28.5" customHeight="1">
      <c r="A9" s="41"/>
      <c r="B9" s="42"/>
      <c r="C9" s="43"/>
      <c r="D9" s="44"/>
      <c r="E9" s="45">
        <v>89</v>
      </c>
      <c r="F9" s="46" t="s">
        <v>78</v>
      </c>
      <c r="G9" s="46"/>
      <c r="H9" s="47"/>
      <c r="I9" s="48"/>
      <c r="J9" s="47"/>
      <c r="K9" s="47"/>
      <c r="L9" s="47"/>
      <c r="M9" s="47"/>
      <c r="N9" s="47"/>
      <c r="O9" s="47"/>
      <c r="P9" s="47"/>
      <c r="Q9" s="47"/>
      <c r="R9" s="47"/>
      <c r="S9" s="47"/>
      <c r="T9" s="47"/>
      <c r="U9" s="47"/>
      <c r="V9" s="47"/>
      <c r="W9" s="47"/>
      <c r="X9" s="47"/>
      <c r="Y9" s="49"/>
    </row>
    <row r="10" spans="1:27" ht="71.25">
      <c r="A10" s="41"/>
      <c r="B10" s="50"/>
      <c r="C10" s="51">
        <v>38</v>
      </c>
      <c r="D10" s="52" t="s">
        <v>79</v>
      </c>
      <c r="E10" s="53"/>
      <c r="F10" s="54">
        <v>283</v>
      </c>
      <c r="G10" s="52" t="s">
        <v>80</v>
      </c>
      <c r="H10" s="55" t="s">
        <v>81</v>
      </c>
      <c r="I10" s="56" t="s">
        <v>82</v>
      </c>
      <c r="J10" s="52" t="s">
        <v>83</v>
      </c>
      <c r="K10" s="54" t="s">
        <v>30</v>
      </c>
      <c r="L10" s="57"/>
      <c r="M10" s="57"/>
      <c r="N10" s="57"/>
      <c r="O10" s="57"/>
      <c r="P10" s="57"/>
      <c r="Q10" s="57"/>
      <c r="R10" s="58"/>
      <c r="S10" s="57"/>
      <c r="T10" s="57"/>
      <c r="U10" s="57"/>
      <c r="V10" s="59">
        <f>43248201+12032799+352</f>
        <v>55281352</v>
      </c>
      <c r="W10" s="60"/>
      <c r="X10" s="60"/>
      <c r="Y10" s="61">
        <f t="shared" ref="Y10:Y12" si="0">+L10+M10+N10+O10+P10+Q10+R10+S10+T10+U10+V10+W10+X10</f>
        <v>55281352</v>
      </c>
    </row>
    <row r="11" spans="1:27" ht="60" customHeight="1">
      <c r="A11" s="41"/>
      <c r="B11" s="50"/>
      <c r="C11" s="51">
        <v>38</v>
      </c>
      <c r="D11" s="52" t="s">
        <v>79</v>
      </c>
      <c r="E11" s="62"/>
      <c r="F11" s="54">
        <v>281</v>
      </c>
      <c r="G11" s="52" t="s">
        <v>84</v>
      </c>
      <c r="H11" s="1064" t="s">
        <v>81</v>
      </c>
      <c r="I11" s="1073" t="s">
        <v>85</v>
      </c>
      <c r="J11" s="1074" t="s">
        <v>86</v>
      </c>
      <c r="K11" s="54" t="s">
        <v>30</v>
      </c>
      <c r="L11" s="57"/>
      <c r="M11" s="57"/>
      <c r="N11" s="57"/>
      <c r="O11" s="57"/>
      <c r="P11" s="57"/>
      <c r="Q11" s="57"/>
      <c r="R11" s="57"/>
      <c r="S11" s="57"/>
      <c r="T11" s="57"/>
      <c r="U11" s="57"/>
      <c r="V11" s="59">
        <v>100000000</v>
      </c>
      <c r="W11" s="60"/>
      <c r="X11" s="60"/>
      <c r="Y11" s="61">
        <f t="shared" si="0"/>
        <v>100000000</v>
      </c>
    </row>
    <row r="12" spans="1:27" ht="57.75" customHeight="1">
      <c r="A12" s="41"/>
      <c r="B12" s="50"/>
      <c r="C12" s="51">
        <v>38</v>
      </c>
      <c r="D12" s="52" t="s">
        <v>79</v>
      </c>
      <c r="E12" s="62"/>
      <c r="F12" s="54">
        <v>287</v>
      </c>
      <c r="G12" s="52" t="s">
        <v>87</v>
      </c>
      <c r="H12" s="1064"/>
      <c r="I12" s="1073"/>
      <c r="J12" s="1074"/>
      <c r="K12" s="54" t="s">
        <v>30</v>
      </c>
      <c r="L12" s="57"/>
      <c r="M12" s="57"/>
      <c r="N12" s="57"/>
      <c r="O12" s="57"/>
      <c r="P12" s="57"/>
      <c r="Q12" s="57"/>
      <c r="R12" s="57"/>
      <c r="S12" s="57"/>
      <c r="T12" s="57"/>
      <c r="U12" s="57"/>
      <c r="V12" s="59">
        <v>120000000</v>
      </c>
      <c r="W12" s="60"/>
      <c r="X12" s="60"/>
      <c r="Y12" s="61">
        <f t="shared" si="0"/>
        <v>120000000</v>
      </c>
    </row>
    <row r="13" spans="1:27" ht="15">
      <c r="A13" s="41"/>
      <c r="B13" s="63"/>
      <c r="C13" s="51"/>
      <c r="D13" s="52"/>
      <c r="E13" s="64"/>
      <c r="F13" s="65"/>
      <c r="G13" s="64"/>
      <c r="H13" s="66"/>
      <c r="I13" s="67"/>
      <c r="J13" s="64"/>
      <c r="K13" s="65"/>
      <c r="L13" s="68"/>
      <c r="M13" s="68"/>
      <c r="N13" s="68"/>
      <c r="O13" s="68"/>
      <c r="P13" s="68"/>
      <c r="Q13" s="68"/>
      <c r="R13" s="68"/>
      <c r="S13" s="68"/>
      <c r="T13" s="68"/>
      <c r="U13" s="68"/>
      <c r="V13" s="68">
        <f>SUM(V10:V12)</f>
        <v>275281352</v>
      </c>
      <c r="W13" s="68"/>
      <c r="X13" s="68">
        <f>SUM(X10:X12)</f>
        <v>0</v>
      </c>
      <c r="Y13" s="68">
        <f>SUM(Y10:Y12)</f>
        <v>275281352</v>
      </c>
    </row>
    <row r="14" spans="1:27" ht="15">
      <c r="A14" s="69"/>
      <c r="B14" s="70"/>
      <c r="C14" s="71"/>
      <c r="D14" s="70"/>
      <c r="E14" s="70"/>
      <c r="F14" s="71"/>
      <c r="G14" s="70"/>
      <c r="H14" s="72"/>
      <c r="I14" s="73"/>
      <c r="J14" s="70"/>
      <c r="K14" s="71"/>
      <c r="L14" s="74"/>
      <c r="M14" s="74"/>
      <c r="N14" s="74"/>
      <c r="O14" s="74"/>
      <c r="P14" s="74"/>
      <c r="Q14" s="74"/>
      <c r="R14" s="74"/>
      <c r="S14" s="74"/>
      <c r="T14" s="74"/>
      <c r="U14" s="74"/>
      <c r="V14" s="74">
        <f t="shared" ref="V14" si="1">V13</f>
        <v>275281352</v>
      </c>
      <c r="W14" s="74"/>
      <c r="X14" s="74">
        <f t="shared" ref="X14:Y14" si="2">X13</f>
        <v>0</v>
      </c>
      <c r="Y14" s="74">
        <f t="shared" si="2"/>
        <v>275281352</v>
      </c>
    </row>
    <row r="15" spans="1:27" ht="15">
      <c r="A15" s="75"/>
      <c r="B15" s="75"/>
      <c r="C15" s="76"/>
      <c r="D15" s="75"/>
      <c r="E15" s="75"/>
      <c r="F15" s="76"/>
      <c r="G15" s="75"/>
      <c r="H15" s="77"/>
      <c r="I15" s="78"/>
      <c r="J15" s="75"/>
      <c r="K15" s="76"/>
      <c r="L15" s="79"/>
      <c r="M15" s="79"/>
      <c r="N15" s="79"/>
      <c r="O15" s="79"/>
      <c r="P15" s="79"/>
      <c r="Q15" s="79"/>
      <c r="R15" s="79"/>
      <c r="S15" s="79"/>
      <c r="T15" s="79"/>
      <c r="U15" s="79"/>
      <c r="V15" s="79">
        <f t="shared" ref="V15" si="3">+V14</f>
        <v>275281352</v>
      </c>
      <c r="W15" s="79"/>
      <c r="X15" s="79">
        <f t="shared" ref="X15:Y15" si="4">+X14</f>
        <v>0</v>
      </c>
      <c r="Y15" s="79">
        <f t="shared" si="4"/>
        <v>275281352</v>
      </c>
    </row>
    <row r="16" spans="1:27" ht="19.5" customHeight="1">
      <c r="A16" s="80"/>
      <c r="B16" s="80"/>
      <c r="C16" s="81"/>
      <c r="D16" s="80"/>
      <c r="E16" s="80"/>
      <c r="F16" s="81"/>
      <c r="G16" s="80"/>
      <c r="H16" s="82"/>
      <c r="I16" s="83"/>
      <c r="J16" s="80"/>
      <c r="K16" s="81"/>
      <c r="L16" s="84"/>
      <c r="M16" s="84"/>
      <c r="N16" s="84"/>
      <c r="O16" s="84"/>
      <c r="P16" s="84"/>
      <c r="Q16" s="84"/>
      <c r="R16" s="84"/>
      <c r="S16" s="84"/>
      <c r="T16" s="84"/>
      <c r="U16" s="84"/>
      <c r="V16" s="84">
        <f t="shared" ref="V16" si="5">V15</f>
        <v>275281352</v>
      </c>
      <c r="W16" s="84"/>
      <c r="X16" s="84">
        <f t="shared" ref="X16:Y16" si="6">X15</f>
        <v>0</v>
      </c>
      <c r="Y16" s="84">
        <f t="shared" si="6"/>
        <v>275281352</v>
      </c>
    </row>
    <row r="17" spans="1:25" ht="26.25" customHeight="1">
      <c r="A17" s="85"/>
      <c r="B17" s="86"/>
      <c r="C17" s="87"/>
      <c r="D17" s="86"/>
      <c r="E17" s="86"/>
      <c r="F17" s="87"/>
      <c r="G17" s="86"/>
      <c r="H17" s="88"/>
      <c r="I17" s="89"/>
      <c r="J17" s="86"/>
      <c r="K17" s="87"/>
      <c r="L17" s="90"/>
      <c r="M17" s="90"/>
      <c r="N17" s="90"/>
      <c r="O17" s="90"/>
      <c r="P17" s="90"/>
      <c r="Q17" s="90"/>
      <c r="R17" s="91"/>
      <c r="S17" s="91"/>
      <c r="T17" s="90"/>
      <c r="U17" s="90"/>
      <c r="V17" s="92"/>
      <c r="W17" s="90"/>
      <c r="X17" s="93"/>
      <c r="Y17" s="94"/>
    </row>
    <row r="18" spans="1:25" s="29" customFormat="1" ht="20.25">
      <c r="A18" s="23" t="s">
        <v>88</v>
      </c>
      <c r="B18" s="24"/>
      <c r="C18" s="25"/>
      <c r="D18" s="24"/>
      <c r="E18" s="24"/>
      <c r="F18" s="25"/>
      <c r="G18" s="24"/>
      <c r="H18" s="24"/>
      <c r="I18" s="26"/>
      <c r="J18" s="24"/>
      <c r="K18" s="25"/>
      <c r="L18" s="95"/>
      <c r="M18" s="95"/>
      <c r="N18" s="95"/>
      <c r="O18" s="95"/>
      <c r="P18" s="95"/>
      <c r="Q18" s="95"/>
      <c r="R18" s="95"/>
      <c r="S18" s="95"/>
      <c r="T18" s="95"/>
      <c r="U18" s="95"/>
      <c r="V18" s="96"/>
      <c r="W18" s="95"/>
      <c r="X18" s="95"/>
      <c r="Y18" s="97"/>
    </row>
    <row r="19" spans="1:25">
      <c r="A19" s="11">
        <v>5</v>
      </c>
      <c r="B19" s="30" t="s">
        <v>76</v>
      </c>
      <c r="C19" s="31"/>
      <c r="D19" s="30"/>
      <c r="E19" s="30"/>
      <c r="F19" s="31"/>
      <c r="G19" s="30"/>
      <c r="H19" s="30"/>
      <c r="I19" s="32"/>
      <c r="J19" s="30"/>
      <c r="K19" s="30"/>
      <c r="L19" s="98"/>
      <c r="M19" s="98"/>
      <c r="N19" s="98"/>
      <c r="O19" s="98"/>
      <c r="P19" s="98"/>
      <c r="Q19" s="98"/>
      <c r="R19" s="98"/>
      <c r="S19" s="98"/>
      <c r="T19" s="98"/>
      <c r="U19" s="98"/>
      <c r="V19" s="99"/>
      <c r="W19" s="98"/>
      <c r="X19" s="98"/>
      <c r="Y19" s="100"/>
    </row>
    <row r="20" spans="1:25">
      <c r="A20" s="101"/>
      <c r="B20" s="36">
        <v>26</v>
      </c>
      <c r="C20" s="36" t="s">
        <v>89</v>
      </c>
      <c r="D20" s="37"/>
      <c r="E20" s="37"/>
      <c r="F20" s="38"/>
      <c r="G20" s="37"/>
      <c r="H20" s="37"/>
      <c r="I20" s="39"/>
      <c r="J20" s="37"/>
      <c r="K20" s="37"/>
      <c r="L20" s="102"/>
      <c r="M20" s="102"/>
      <c r="N20" s="102"/>
      <c r="O20" s="102"/>
      <c r="P20" s="102"/>
      <c r="Q20" s="102"/>
      <c r="R20" s="102"/>
      <c r="S20" s="102"/>
      <c r="T20" s="102"/>
      <c r="U20" s="102"/>
      <c r="V20" s="103"/>
      <c r="W20" s="102"/>
      <c r="X20" s="102"/>
      <c r="Y20" s="104"/>
    </row>
    <row r="21" spans="1:25">
      <c r="A21" s="50"/>
      <c r="B21" s="101"/>
      <c r="C21" s="105"/>
      <c r="D21" s="106"/>
      <c r="E21" s="107">
        <v>83</v>
      </c>
      <c r="F21" s="108" t="s">
        <v>90</v>
      </c>
      <c r="G21" s="109"/>
      <c r="H21" s="109"/>
      <c r="I21" s="110"/>
      <c r="J21" s="109"/>
      <c r="K21" s="109"/>
      <c r="L21" s="111"/>
      <c r="M21" s="111"/>
      <c r="N21" s="111"/>
      <c r="O21" s="111"/>
      <c r="P21" s="111"/>
      <c r="Q21" s="111"/>
      <c r="R21" s="111"/>
      <c r="S21" s="111"/>
      <c r="T21" s="111"/>
      <c r="U21" s="111"/>
      <c r="V21" s="112"/>
      <c r="W21" s="111"/>
      <c r="X21" s="111"/>
      <c r="Y21" s="113"/>
    </row>
    <row r="22" spans="1:25" ht="86.25" customHeight="1">
      <c r="A22" s="50"/>
      <c r="B22" s="50"/>
      <c r="C22" s="54">
        <v>37</v>
      </c>
      <c r="D22" s="114" t="s">
        <v>91</v>
      </c>
      <c r="E22" s="52"/>
      <c r="F22" s="54">
        <v>246</v>
      </c>
      <c r="G22" s="52" t="s">
        <v>92</v>
      </c>
      <c r="H22" s="55" t="s">
        <v>81</v>
      </c>
      <c r="I22" s="115" t="s">
        <v>93</v>
      </c>
      <c r="J22" s="52" t="s">
        <v>94</v>
      </c>
      <c r="K22" s="54" t="s">
        <v>30</v>
      </c>
      <c r="L22" s="57"/>
      <c r="M22" s="57"/>
      <c r="N22" s="57"/>
      <c r="O22" s="57"/>
      <c r="P22" s="57"/>
      <c r="Q22" s="57"/>
      <c r="R22" s="57"/>
      <c r="S22" s="57"/>
      <c r="T22" s="60"/>
      <c r="U22" s="60"/>
      <c r="V22" s="59">
        <v>30000000</v>
      </c>
      <c r="W22" s="60"/>
      <c r="X22" s="60"/>
      <c r="Y22" s="61">
        <f t="shared" ref="Y22" si="7">+L22+M22+N22+O22+P22+Q22+R22+S22+T22+U22+V22+W22+X22</f>
        <v>30000000</v>
      </c>
    </row>
    <row r="23" spans="1:25" ht="15">
      <c r="A23" s="50"/>
      <c r="B23" s="50"/>
      <c r="C23" s="54"/>
      <c r="D23" s="52"/>
      <c r="E23" s="116"/>
      <c r="F23" s="117"/>
      <c r="G23" s="118"/>
      <c r="H23" s="119"/>
      <c r="I23" s="120"/>
      <c r="J23" s="118"/>
      <c r="K23" s="117"/>
      <c r="L23" s="121"/>
      <c r="M23" s="121"/>
      <c r="N23" s="121"/>
      <c r="O23" s="121"/>
      <c r="P23" s="121"/>
      <c r="Q23" s="121"/>
      <c r="R23" s="121"/>
      <c r="S23" s="121"/>
      <c r="T23" s="121"/>
      <c r="U23" s="121"/>
      <c r="V23" s="121">
        <f t="shared" ref="V23" si="8">SUM(V22)</f>
        <v>30000000</v>
      </c>
      <c r="W23" s="121"/>
      <c r="X23" s="121"/>
      <c r="Y23" s="121">
        <f t="shared" ref="Y23" si="9">SUM(Y22)</f>
        <v>30000000</v>
      </c>
    </row>
    <row r="24" spans="1:25" ht="15">
      <c r="A24" s="50"/>
      <c r="B24" s="50"/>
      <c r="C24" s="54"/>
      <c r="D24" s="86"/>
      <c r="E24" s="86"/>
      <c r="F24" s="87"/>
      <c r="G24" s="86"/>
      <c r="H24" s="88"/>
      <c r="I24" s="89"/>
      <c r="J24" s="86"/>
      <c r="K24" s="87"/>
      <c r="L24" s="90"/>
      <c r="M24" s="90"/>
      <c r="N24" s="90"/>
      <c r="O24" s="90"/>
      <c r="P24" s="90"/>
      <c r="Q24" s="90"/>
      <c r="R24" s="91"/>
      <c r="S24" s="91"/>
      <c r="T24" s="90"/>
      <c r="U24" s="90"/>
      <c r="V24" s="122"/>
      <c r="W24" s="90"/>
      <c r="X24" s="91"/>
      <c r="Y24" s="94"/>
    </row>
    <row r="25" spans="1:25">
      <c r="A25" s="50"/>
      <c r="B25" s="50"/>
      <c r="C25" s="54"/>
      <c r="D25" s="86"/>
      <c r="E25" s="123">
        <v>84</v>
      </c>
      <c r="F25" s="124" t="s">
        <v>95</v>
      </c>
      <c r="G25" s="125"/>
      <c r="H25" s="125"/>
      <c r="I25" s="126"/>
      <c r="J25" s="125"/>
      <c r="K25" s="125"/>
      <c r="L25" s="127"/>
      <c r="M25" s="127"/>
      <c r="N25" s="127"/>
      <c r="O25" s="127"/>
      <c r="P25" s="127"/>
      <c r="Q25" s="127"/>
      <c r="R25" s="127"/>
      <c r="S25" s="127"/>
      <c r="T25" s="127"/>
      <c r="U25" s="127"/>
      <c r="V25" s="128"/>
      <c r="W25" s="127"/>
      <c r="X25" s="127"/>
      <c r="Y25" s="129"/>
    </row>
    <row r="26" spans="1:25" ht="81.75" customHeight="1">
      <c r="A26" s="50"/>
      <c r="B26" s="50"/>
      <c r="C26" s="51">
        <v>37</v>
      </c>
      <c r="D26" s="52" t="s">
        <v>91</v>
      </c>
      <c r="E26" s="52"/>
      <c r="F26" s="54">
        <v>248</v>
      </c>
      <c r="G26" s="52" t="s">
        <v>96</v>
      </c>
      <c r="H26" s="55" t="s">
        <v>81</v>
      </c>
      <c r="I26" s="115" t="s">
        <v>97</v>
      </c>
      <c r="J26" s="52" t="s">
        <v>98</v>
      </c>
      <c r="K26" s="54" t="s">
        <v>30</v>
      </c>
      <c r="L26" s="57"/>
      <c r="M26" s="57"/>
      <c r="N26" s="57"/>
      <c r="O26" s="57"/>
      <c r="P26" s="57"/>
      <c r="Q26" s="57"/>
      <c r="R26" s="57"/>
      <c r="S26" s="57"/>
      <c r="T26" s="57"/>
      <c r="U26" s="57"/>
      <c r="V26" s="59">
        <v>30000000</v>
      </c>
      <c r="W26" s="60"/>
      <c r="X26" s="60"/>
      <c r="Y26" s="61">
        <f t="shared" ref="Y26" si="10">+L26+M26+N26+O26+P26+Q26+R26+S26+T26+U26+V26+W26+X26</f>
        <v>30000000</v>
      </c>
    </row>
    <row r="27" spans="1:25" s="29" customFormat="1" ht="20.25">
      <c r="A27" s="50"/>
      <c r="B27" s="63"/>
      <c r="C27" s="51"/>
      <c r="D27" s="52"/>
      <c r="E27" s="64"/>
      <c r="F27" s="65"/>
      <c r="G27" s="64"/>
      <c r="H27" s="66"/>
      <c r="I27" s="67"/>
      <c r="J27" s="64"/>
      <c r="K27" s="65"/>
      <c r="L27" s="68"/>
      <c r="M27" s="68"/>
      <c r="N27" s="68"/>
      <c r="O27" s="68"/>
      <c r="P27" s="68"/>
      <c r="Q27" s="68"/>
      <c r="R27" s="68"/>
      <c r="S27" s="68"/>
      <c r="T27" s="68"/>
      <c r="U27" s="68"/>
      <c r="V27" s="68">
        <f t="shared" ref="V27" si="11">V26</f>
        <v>30000000</v>
      </c>
      <c r="W27" s="68"/>
      <c r="X27" s="68"/>
      <c r="Y27" s="68">
        <f t="shared" ref="Y27" si="12">Y26</f>
        <v>30000000</v>
      </c>
    </row>
    <row r="28" spans="1:25" ht="15">
      <c r="A28" s="50"/>
      <c r="B28" s="130"/>
      <c r="C28" s="131"/>
      <c r="D28" s="130"/>
      <c r="E28" s="130"/>
      <c r="F28" s="131"/>
      <c r="G28" s="130"/>
      <c r="H28" s="132"/>
      <c r="I28" s="133"/>
      <c r="J28" s="130"/>
      <c r="K28" s="131"/>
      <c r="L28" s="134"/>
      <c r="M28" s="134"/>
      <c r="N28" s="134"/>
      <c r="O28" s="134"/>
      <c r="P28" s="134"/>
      <c r="Q28" s="134"/>
      <c r="R28" s="134"/>
      <c r="S28" s="134"/>
      <c r="T28" s="134"/>
      <c r="U28" s="134"/>
      <c r="V28" s="134">
        <f t="shared" ref="V28" si="13">V23+V27</f>
        <v>60000000</v>
      </c>
      <c r="W28" s="134"/>
      <c r="X28" s="134"/>
      <c r="Y28" s="74">
        <f t="shared" ref="Y28" si="14">Y23+Y27</f>
        <v>60000000</v>
      </c>
    </row>
    <row r="29" spans="1:25" ht="15">
      <c r="A29" s="50"/>
      <c r="B29" s="86"/>
      <c r="C29" s="87"/>
      <c r="D29" s="86"/>
      <c r="E29" s="86"/>
      <c r="F29" s="87"/>
      <c r="G29" s="86"/>
      <c r="H29" s="135"/>
      <c r="I29" s="89"/>
      <c r="J29" s="86"/>
      <c r="K29" s="87"/>
      <c r="L29" s="90"/>
      <c r="M29" s="90"/>
      <c r="N29" s="90"/>
      <c r="O29" s="90"/>
      <c r="P29" s="90"/>
      <c r="Q29" s="90"/>
      <c r="R29" s="91"/>
      <c r="S29" s="91"/>
      <c r="T29" s="90"/>
      <c r="U29" s="90"/>
      <c r="V29" s="122"/>
      <c r="W29" s="90"/>
      <c r="X29" s="91"/>
      <c r="Y29" s="94"/>
    </row>
    <row r="30" spans="1:25">
      <c r="A30" s="50"/>
      <c r="B30" s="36">
        <v>27</v>
      </c>
      <c r="C30" s="36" t="s">
        <v>99</v>
      </c>
      <c r="D30" s="37"/>
      <c r="E30" s="37"/>
      <c r="F30" s="38"/>
      <c r="G30" s="37"/>
      <c r="H30" s="37"/>
      <c r="I30" s="39"/>
      <c r="J30" s="37"/>
      <c r="K30" s="37"/>
      <c r="L30" s="102"/>
      <c r="M30" s="102"/>
      <c r="N30" s="102"/>
      <c r="O30" s="102"/>
      <c r="P30" s="102"/>
      <c r="Q30" s="102"/>
      <c r="R30" s="102"/>
      <c r="S30" s="102"/>
      <c r="T30" s="102"/>
      <c r="U30" s="102"/>
      <c r="V30" s="103"/>
      <c r="W30" s="102"/>
      <c r="X30" s="102"/>
      <c r="Y30" s="104"/>
    </row>
    <row r="31" spans="1:25">
      <c r="A31" s="50"/>
      <c r="B31" s="136"/>
      <c r="C31" s="87"/>
      <c r="D31" s="137"/>
      <c r="E31" s="107">
        <v>85</v>
      </c>
      <c r="F31" s="108" t="s">
        <v>100</v>
      </c>
      <c r="G31" s="109"/>
      <c r="H31" s="109"/>
      <c r="I31" s="110"/>
      <c r="J31" s="109"/>
      <c r="K31" s="109"/>
      <c r="L31" s="111"/>
      <c r="M31" s="111"/>
      <c r="N31" s="111"/>
      <c r="O31" s="111"/>
      <c r="P31" s="111"/>
      <c r="Q31" s="111"/>
      <c r="R31" s="111"/>
      <c r="S31" s="111"/>
      <c r="T31" s="111"/>
      <c r="U31" s="111"/>
      <c r="V31" s="112"/>
      <c r="W31" s="111"/>
      <c r="X31" s="111"/>
      <c r="Y31" s="113"/>
    </row>
    <row r="32" spans="1:25" ht="73.5" customHeight="1">
      <c r="A32" s="50"/>
      <c r="B32" s="53"/>
      <c r="C32" s="51">
        <v>37</v>
      </c>
      <c r="D32" s="52" t="s">
        <v>91</v>
      </c>
      <c r="E32" s="138"/>
      <c r="F32" s="139">
        <v>249</v>
      </c>
      <c r="G32" s="52" t="s">
        <v>101</v>
      </c>
      <c r="H32" s="55" t="s">
        <v>102</v>
      </c>
      <c r="I32" s="115" t="s">
        <v>103</v>
      </c>
      <c r="J32" s="52" t="s">
        <v>104</v>
      </c>
      <c r="K32" s="54" t="s">
        <v>30</v>
      </c>
      <c r="L32" s="57"/>
      <c r="M32" s="57"/>
      <c r="N32" s="57"/>
      <c r="O32" s="57"/>
      <c r="P32" s="57"/>
      <c r="Q32" s="57"/>
      <c r="R32" s="57"/>
      <c r="S32" s="57"/>
      <c r="T32" s="57"/>
      <c r="U32" s="57"/>
      <c r="V32" s="59">
        <f>160000000+40000000</f>
        <v>200000000</v>
      </c>
      <c r="W32" s="60"/>
      <c r="X32" s="60"/>
      <c r="Y32" s="61">
        <f t="shared" ref="Y32" si="15">+L32+M32+N32+O32+P32+Q32+R32+S32+T32+U32+V32+W32+X32</f>
        <v>200000000</v>
      </c>
    </row>
    <row r="33" spans="1:25" ht="15">
      <c r="A33" s="50"/>
      <c r="B33" s="62"/>
      <c r="C33" s="51"/>
      <c r="D33" s="52"/>
      <c r="E33" s="140"/>
      <c r="F33" s="141"/>
      <c r="G33" s="64"/>
      <c r="H33" s="66"/>
      <c r="I33" s="67"/>
      <c r="J33" s="64"/>
      <c r="K33" s="65"/>
      <c r="L33" s="68"/>
      <c r="M33" s="68"/>
      <c r="N33" s="68"/>
      <c r="O33" s="68"/>
      <c r="P33" s="68"/>
      <c r="Q33" s="68"/>
      <c r="R33" s="68"/>
      <c r="S33" s="68"/>
      <c r="T33" s="68"/>
      <c r="U33" s="68"/>
      <c r="V33" s="68">
        <f t="shared" ref="V33" si="16">SUM(V32)</f>
        <v>200000000</v>
      </c>
      <c r="W33" s="68"/>
      <c r="X33" s="68"/>
      <c r="Y33" s="68">
        <f t="shared" ref="Y33" si="17">SUM(Y32)</f>
        <v>200000000</v>
      </c>
    </row>
    <row r="34" spans="1:25" ht="15">
      <c r="A34" s="50"/>
      <c r="B34" s="142"/>
      <c r="C34" s="143"/>
      <c r="D34" s="130"/>
      <c r="E34" s="144"/>
      <c r="F34" s="145"/>
      <c r="G34" s="70"/>
      <c r="H34" s="72"/>
      <c r="I34" s="73"/>
      <c r="J34" s="70"/>
      <c r="K34" s="71"/>
      <c r="L34" s="74"/>
      <c r="M34" s="74"/>
      <c r="N34" s="74"/>
      <c r="O34" s="74"/>
      <c r="P34" s="74"/>
      <c r="Q34" s="74"/>
      <c r="R34" s="74"/>
      <c r="S34" s="74"/>
      <c r="T34" s="74"/>
      <c r="U34" s="74"/>
      <c r="V34" s="74">
        <f t="shared" ref="V34" si="18">V33</f>
        <v>200000000</v>
      </c>
      <c r="W34" s="74"/>
      <c r="X34" s="74"/>
      <c r="Y34" s="74">
        <f t="shared" ref="Y34" si="19">Y33</f>
        <v>200000000</v>
      </c>
    </row>
    <row r="35" spans="1:25" ht="15">
      <c r="A35" s="50"/>
      <c r="B35" s="86"/>
      <c r="C35" s="87"/>
      <c r="D35" s="86"/>
      <c r="E35" s="146"/>
      <c r="F35" s="147"/>
      <c r="G35" s="86"/>
      <c r="H35" s="88"/>
      <c r="I35" s="89"/>
      <c r="J35" s="86"/>
      <c r="K35" s="87"/>
      <c r="L35" s="90"/>
      <c r="M35" s="90"/>
      <c r="N35" s="90"/>
      <c r="O35" s="90"/>
      <c r="P35" s="90"/>
      <c r="Q35" s="90"/>
      <c r="R35" s="91"/>
      <c r="S35" s="91"/>
      <c r="T35" s="90"/>
      <c r="U35" s="90"/>
      <c r="V35" s="122"/>
      <c r="W35" s="90"/>
      <c r="X35" s="90"/>
      <c r="Y35" s="148"/>
    </row>
    <row r="36" spans="1:25">
      <c r="A36" s="41"/>
      <c r="B36" s="149">
        <v>28</v>
      </c>
      <c r="C36" s="1058" t="s">
        <v>77</v>
      </c>
      <c r="D36" s="1059"/>
      <c r="E36" s="37"/>
      <c r="F36" s="38"/>
      <c r="G36" s="37"/>
      <c r="H36" s="37"/>
      <c r="I36" s="39"/>
      <c r="J36" s="37"/>
      <c r="K36" s="37"/>
      <c r="L36" s="102"/>
      <c r="M36" s="102"/>
      <c r="N36" s="102"/>
      <c r="O36" s="102"/>
      <c r="P36" s="102"/>
      <c r="Q36" s="102"/>
      <c r="R36" s="102"/>
      <c r="S36" s="102"/>
      <c r="T36" s="102"/>
      <c r="U36" s="102"/>
      <c r="V36" s="103"/>
      <c r="W36" s="102"/>
      <c r="X36" s="102"/>
      <c r="Y36" s="104"/>
    </row>
    <row r="37" spans="1:25" ht="15.75" customHeight="1">
      <c r="A37" s="41"/>
      <c r="B37" s="136"/>
      <c r="C37" s="150"/>
      <c r="D37" s="136"/>
      <c r="E37" s="151">
        <v>87</v>
      </c>
      <c r="F37" s="152" t="s">
        <v>105</v>
      </c>
      <c r="G37" s="153"/>
      <c r="H37" s="153"/>
      <c r="I37" s="154"/>
      <c r="J37" s="153"/>
      <c r="K37" s="153"/>
      <c r="L37" s="155"/>
      <c r="M37" s="155"/>
      <c r="N37" s="155"/>
      <c r="O37" s="155"/>
      <c r="P37" s="155"/>
      <c r="Q37" s="155"/>
      <c r="R37" s="155"/>
      <c r="S37" s="155"/>
      <c r="T37" s="155"/>
      <c r="U37" s="155"/>
      <c r="V37" s="156"/>
      <c r="W37" s="155"/>
      <c r="X37" s="155"/>
      <c r="Y37" s="157"/>
    </row>
    <row r="38" spans="1:25" ht="64.5" customHeight="1">
      <c r="A38" s="158"/>
      <c r="B38" s="159"/>
      <c r="C38" s="160">
        <v>38</v>
      </c>
      <c r="D38" s="138" t="s">
        <v>79</v>
      </c>
      <c r="E38" s="161"/>
      <c r="F38" s="162">
        <v>256</v>
      </c>
      <c r="G38" s="163" t="s">
        <v>106</v>
      </c>
      <c r="H38" s="164" t="s">
        <v>81</v>
      </c>
      <c r="I38" s="165" t="s">
        <v>107</v>
      </c>
      <c r="J38" s="163" t="s">
        <v>108</v>
      </c>
      <c r="K38" s="166" t="s">
        <v>109</v>
      </c>
      <c r="L38" s="167"/>
      <c r="M38" s="167"/>
      <c r="N38" s="167"/>
      <c r="O38" s="167"/>
      <c r="P38" s="167"/>
      <c r="Q38" s="167"/>
      <c r="R38" s="167"/>
      <c r="S38" s="167"/>
      <c r="T38" s="167"/>
      <c r="U38" s="167"/>
      <c r="V38" s="168">
        <f>150000000+36750000+40000000+142000</f>
        <v>226892000</v>
      </c>
      <c r="W38" s="167"/>
      <c r="X38" s="167"/>
      <c r="Y38" s="61">
        <f t="shared" ref="Y38:Y50" si="20">+L38+M38+N38+O38+P38+Q38+R38+S38+T38+U38+V38+W38+X38</f>
        <v>226892000</v>
      </c>
    </row>
    <row r="39" spans="1:25" s="176" customFormat="1" ht="55.5" customHeight="1">
      <c r="A39" s="169"/>
      <c r="B39" s="169"/>
      <c r="C39" s="160">
        <v>38</v>
      </c>
      <c r="D39" s="138" t="s">
        <v>79</v>
      </c>
      <c r="E39" s="169"/>
      <c r="F39" s="170">
        <v>257</v>
      </c>
      <c r="G39" s="171" t="s">
        <v>110</v>
      </c>
      <c r="H39" s="1060" t="s">
        <v>81</v>
      </c>
      <c r="I39" s="1061" t="s">
        <v>111</v>
      </c>
      <c r="J39" s="1062" t="s">
        <v>112</v>
      </c>
      <c r="K39" s="172" t="s">
        <v>30</v>
      </c>
      <c r="L39" s="173"/>
      <c r="M39" s="173"/>
      <c r="N39" s="173"/>
      <c r="O39" s="173"/>
      <c r="P39" s="173"/>
      <c r="Q39" s="173"/>
      <c r="R39" s="173"/>
      <c r="S39" s="173"/>
      <c r="T39" s="173"/>
      <c r="U39" s="173"/>
      <c r="V39" s="174">
        <v>85000000</v>
      </c>
      <c r="W39" s="175"/>
      <c r="X39" s="175"/>
      <c r="Y39" s="61">
        <f t="shared" si="20"/>
        <v>85000000</v>
      </c>
    </row>
    <row r="40" spans="1:25" ht="58.5" customHeight="1">
      <c r="A40" s="50"/>
      <c r="B40" s="53"/>
      <c r="C40" s="160">
        <v>38</v>
      </c>
      <c r="D40" s="138" t="s">
        <v>79</v>
      </c>
      <c r="E40" s="53"/>
      <c r="F40" s="54">
        <v>263</v>
      </c>
      <c r="G40" s="52" t="s">
        <v>113</v>
      </c>
      <c r="H40" s="1060"/>
      <c r="I40" s="1061"/>
      <c r="J40" s="1062"/>
      <c r="K40" s="177" t="s">
        <v>30</v>
      </c>
      <c r="L40" s="57"/>
      <c r="M40" s="57"/>
      <c r="N40" s="57"/>
      <c r="O40" s="57"/>
      <c r="P40" s="57"/>
      <c r="Q40" s="57"/>
      <c r="R40" s="57"/>
      <c r="S40" s="57"/>
      <c r="T40" s="57"/>
      <c r="U40" s="57"/>
      <c r="V40" s="59">
        <v>120000000</v>
      </c>
      <c r="W40" s="60"/>
      <c r="X40" s="60"/>
      <c r="Y40" s="61">
        <f t="shared" si="20"/>
        <v>120000000</v>
      </c>
    </row>
    <row r="41" spans="1:25" ht="70.5" customHeight="1">
      <c r="A41" s="50"/>
      <c r="B41" s="53"/>
      <c r="C41" s="139">
        <v>38</v>
      </c>
      <c r="D41" s="138" t="s">
        <v>79</v>
      </c>
      <c r="E41" s="53"/>
      <c r="F41" s="54">
        <v>262</v>
      </c>
      <c r="G41" s="52" t="s">
        <v>114</v>
      </c>
      <c r="H41" s="52" t="s">
        <v>81</v>
      </c>
      <c r="I41" s="115" t="s">
        <v>115</v>
      </c>
      <c r="J41" s="52" t="s">
        <v>116</v>
      </c>
      <c r="K41" s="177" t="s">
        <v>30</v>
      </c>
      <c r="L41" s="57"/>
      <c r="M41" s="57"/>
      <c r="N41" s="57"/>
      <c r="O41" s="57"/>
      <c r="P41" s="57"/>
      <c r="Q41" s="57"/>
      <c r="R41" s="57"/>
      <c r="S41" s="57"/>
      <c r="T41" s="57"/>
      <c r="U41" s="57"/>
      <c r="V41" s="59">
        <v>40000000</v>
      </c>
      <c r="W41" s="60"/>
      <c r="X41" s="60"/>
      <c r="Y41" s="61">
        <f t="shared" si="20"/>
        <v>40000000</v>
      </c>
    </row>
    <row r="42" spans="1:25" ht="96.75" customHeight="1">
      <c r="A42" s="53"/>
      <c r="B42" s="53"/>
      <c r="C42" s="139">
        <v>38</v>
      </c>
      <c r="D42" s="138" t="s">
        <v>79</v>
      </c>
      <c r="E42" s="53"/>
      <c r="F42" s="54">
        <v>264</v>
      </c>
      <c r="G42" s="52" t="s">
        <v>117</v>
      </c>
      <c r="H42" s="52" t="s">
        <v>81</v>
      </c>
      <c r="I42" s="115" t="s">
        <v>118</v>
      </c>
      <c r="J42" s="52" t="s">
        <v>119</v>
      </c>
      <c r="K42" s="177" t="s">
        <v>30</v>
      </c>
      <c r="L42" s="57"/>
      <c r="M42" s="57"/>
      <c r="N42" s="57"/>
      <c r="O42" s="57"/>
      <c r="P42" s="57"/>
      <c r="Q42" s="57"/>
      <c r="R42" s="57"/>
      <c r="S42" s="57"/>
      <c r="T42" s="57"/>
      <c r="U42" s="57"/>
      <c r="V42" s="59">
        <v>40000000</v>
      </c>
      <c r="W42" s="60"/>
      <c r="X42" s="60"/>
      <c r="Y42" s="61">
        <f t="shared" si="20"/>
        <v>40000000</v>
      </c>
    </row>
    <row r="43" spans="1:25" ht="73.5" customHeight="1">
      <c r="A43" s="50"/>
      <c r="B43" s="53"/>
      <c r="C43" s="139">
        <v>38</v>
      </c>
      <c r="D43" s="138" t="s">
        <v>79</v>
      </c>
      <c r="E43" s="178"/>
      <c r="F43" s="54">
        <v>265</v>
      </c>
      <c r="G43" s="52" t="s">
        <v>120</v>
      </c>
      <c r="H43" s="54" t="s">
        <v>121</v>
      </c>
      <c r="I43" s="115" t="s">
        <v>122</v>
      </c>
      <c r="J43" s="52" t="s">
        <v>123</v>
      </c>
      <c r="K43" s="177" t="s">
        <v>30</v>
      </c>
      <c r="L43" s="57"/>
      <c r="M43" s="57"/>
      <c r="N43" s="57"/>
      <c r="O43" s="57"/>
      <c r="P43" s="57"/>
      <c r="Q43" s="57"/>
      <c r="R43" s="57"/>
      <c r="S43" s="57"/>
      <c r="T43" s="57"/>
      <c r="U43" s="57"/>
      <c r="V43" s="59">
        <v>300000000</v>
      </c>
      <c r="W43" s="60"/>
      <c r="X43" s="60"/>
      <c r="Y43" s="61">
        <f t="shared" si="20"/>
        <v>300000000</v>
      </c>
    </row>
    <row r="44" spans="1:25" ht="84" customHeight="1">
      <c r="A44" s="50"/>
      <c r="B44" s="53"/>
      <c r="C44" s="54">
        <v>38</v>
      </c>
      <c r="D44" s="52" t="s">
        <v>79</v>
      </c>
      <c r="E44" s="54"/>
      <c r="F44" s="54">
        <v>268</v>
      </c>
      <c r="G44" s="52" t="s">
        <v>124</v>
      </c>
      <c r="H44" s="1063" t="s">
        <v>81</v>
      </c>
      <c r="I44" s="1061" t="s">
        <v>125</v>
      </c>
      <c r="J44" s="1064" t="s">
        <v>126</v>
      </c>
      <c r="K44" s="177" t="s">
        <v>30</v>
      </c>
      <c r="L44" s="57"/>
      <c r="M44" s="57"/>
      <c r="N44" s="57"/>
      <c r="O44" s="57"/>
      <c r="P44" s="57"/>
      <c r="Q44" s="57"/>
      <c r="R44" s="57"/>
      <c r="S44" s="57"/>
      <c r="T44" s="57"/>
      <c r="U44" s="57"/>
      <c r="V44" s="59">
        <v>45000000</v>
      </c>
      <c r="W44" s="60"/>
      <c r="X44" s="60"/>
      <c r="Y44" s="61">
        <f t="shared" si="20"/>
        <v>45000000</v>
      </c>
    </row>
    <row r="45" spans="1:25" ht="75" customHeight="1">
      <c r="A45" s="50"/>
      <c r="B45" s="53"/>
      <c r="C45" s="54">
        <v>38</v>
      </c>
      <c r="D45" s="52" t="s">
        <v>79</v>
      </c>
      <c r="E45" s="54"/>
      <c r="F45" s="54">
        <v>269</v>
      </c>
      <c r="G45" s="52" t="s">
        <v>127</v>
      </c>
      <c r="H45" s="1063"/>
      <c r="I45" s="1061"/>
      <c r="J45" s="1064"/>
      <c r="K45" s="177" t="s">
        <v>30</v>
      </c>
      <c r="L45" s="57"/>
      <c r="M45" s="57"/>
      <c r="N45" s="57"/>
      <c r="O45" s="57"/>
      <c r="P45" s="57"/>
      <c r="Q45" s="57"/>
      <c r="R45" s="57"/>
      <c r="S45" s="57"/>
      <c r="T45" s="57"/>
      <c r="U45" s="57"/>
      <c r="V45" s="59">
        <v>45000000</v>
      </c>
      <c r="W45" s="60"/>
      <c r="X45" s="60"/>
      <c r="Y45" s="61">
        <f t="shared" si="20"/>
        <v>45000000</v>
      </c>
    </row>
    <row r="46" spans="1:25" ht="89.25" customHeight="1">
      <c r="A46" s="50"/>
      <c r="B46" s="53"/>
      <c r="C46" s="54">
        <v>38</v>
      </c>
      <c r="D46" s="52" t="s">
        <v>79</v>
      </c>
      <c r="E46" s="54"/>
      <c r="F46" s="54">
        <v>270</v>
      </c>
      <c r="G46" s="52" t="s">
        <v>128</v>
      </c>
      <c r="H46" s="1063"/>
      <c r="I46" s="1061"/>
      <c r="J46" s="1064"/>
      <c r="K46" s="177" t="s">
        <v>30</v>
      </c>
      <c r="L46" s="57"/>
      <c r="M46" s="57"/>
      <c r="N46" s="57"/>
      <c r="O46" s="57"/>
      <c r="P46" s="57"/>
      <c r="Q46" s="57"/>
      <c r="R46" s="57"/>
      <c r="S46" s="57"/>
      <c r="T46" s="57"/>
      <c r="U46" s="57"/>
      <c r="V46" s="59">
        <v>45000000</v>
      </c>
      <c r="W46" s="60"/>
      <c r="X46" s="60"/>
      <c r="Y46" s="61">
        <f t="shared" si="20"/>
        <v>45000000</v>
      </c>
    </row>
    <row r="47" spans="1:25" ht="102" customHeight="1">
      <c r="A47" s="50"/>
      <c r="B47" s="53"/>
      <c r="C47" s="54">
        <v>38</v>
      </c>
      <c r="D47" s="52" t="s">
        <v>79</v>
      </c>
      <c r="E47" s="54"/>
      <c r="F47" s="54">
        <v>271</v>
      </c>
      <c r="G47" s="52" t="s">
        <v>129</v>
      </c>
      <c r="H47" s="1063"/>
      <c r="I47" s="1061"/>
      <c r="J47" s="1064"/>
      <c r="K47" s="177" t="s">
        <v>30</v>
      </c>
      <c r="L47" s="57"/>
      <c r="M47" s="57"/>
      <c r="N47" s="57"/>
      <c r="O47" s="57"/>
      <c r="P47" s="57"/>
      <c r="Q47" s="57"/>
      <c r="R47" s="57"/>
      <c r="S47" s="57"/>
      <c r="T47" s="57"/>
      <c r="U47" s="57"/>
      <c r="V47" s="59">
        <v>45000000</v>
      </c>
      <c r="W47" s="60"/>
      <c r="X47" s="60"/>
      <c r="Y47" s="61">
        <f t="shared" si="20"/>
        <v>45000000</v>
      </c>
    </row>
    <row r="48" spans="1:25" ht="77.25" customHeight="1">
      <c r="A48" s="50"/>
      <c r="B48" s="53"/>
      <c r="C48" s="54">
        <v>38</v>
      </c>
      <c r="D48" s="52" t="s">
        <v>79</v>
      </c>
      <c r="E48" s="54"/>
      <c r="F48" s="54">
        <v>272</v>
      </c>
      <c r="G48" s="52" t="s">
        <v>130</v>
      </c>
      <c r="H48" s="1063"/>
      <c r="I48" s="1061"/>
      <c r="J48" s="1064"/>
      <c r="K48" s="177" t="s">
        <v>30</v>
      </c>
      <c r="L48" s="57"/>
      <c r="M48" s="57"/>
      <c r="N48" s="57"/>
      <c r="O48" s="57"/>
      <c r="P48" s="57"/>
      <c r="Q48" s="57"/>
      <c r="R48" s="57"/>
      <c r="S48" s="57"/>
      <c r="T48" s="57"/>
      <c r="U48" s="57"/>
      <c r="V48" s="59">
        <v>45000000</v>
      </c>
      <c r="W48" s="60"/>
      <c r="X48" s="60"/>
      <c r="Y48" s="61">
        <f t="shared" si="20"/>
        <v>45000000</v>
      </c>
    </row>
    <row r="49" spans="1:25" ht="89.25" customHeight="1">
      <c r="A49" s="50"/>
      <c r="B49" s="53"/>
      <c r="C49" s="54">
        <v>38</v>
      </c>
      <c r="D49" s="52" t="s">
        <v>79</v>
      </c>
      <c r="E49" s="54"/>
      <c r="F49" s="54">
        <v>273</v>
      </c>
      <c r="G49" s="52" t="s">
        <v>131</v>
      </c>
      <c r="H49" s="1063"/>
      <c r="I49" s="1061"/>
      <c r="J49" s="1064"/>
      <c r="K49" s="177" t="s">
        <v>30</v>
      </c>
      <c r="L49" s="57"/>
      <c r="M49" s="57"/>
      <c r="N49" s="57"/>
      <c r="O49" s="57"/>
      <c r="P49" s="57"/>
      <c r="Q49" s="57"/>
      <c r="R49" s="57"/>
      <c r="S49" s="57"/>
      <c r="T49" s="57"/>
      <c r="U49" s="57"/>
      <c r="V49" s="59">
        <f>15000000-1675000</f>
        <v>13325000</v>
      </c>
      <c r="W49" s="60"/>
      <c r="X49" s="60"/>
      <c r="Y49" s="61">
        <f t="shared" si="20"/>
        <v>13325000</v>
      </c>
    </row>
    <row r="50" spans="1:25" ht="64.5" customHeight="1">
      <c r="A50" s="50"/>
      <c r="B50" s="53"/>
      <c r="C50" s="54">
        <v>38</v>
      </c>
      <c r="D50" s="52" t="s">
        <v>79</v>
      </c>
      <c r="E50" s="54"/>
      <c r="F50" s="54">
        <v>274</v>
      </c>
      <c r="G50" s="52" t="s">
        <v>132</v>
      </c>
      <c r="H50" s="1063"/>
      <c r="I50" s="1061"/>
      <c r="J50" s="1064"/>
      <c r="K50" s="177" t="s">
        <v>30</v>
      </c>
      <c r="L50" s="57"/>
      <c r="M50" s="57"/>
      <c r="N50" s="57"/>
      <c r="O50" s="57"/>
      <c r="P50" s="57"/>
      <c r="Q50" s="57"/>
      <c r="R50" s="57"/>
      <c r="S50" s="57"/>
      <c r="T50" s="57"/>
      <c r="U50" s="57"/>
      <c r="V50" s="59">
        <f>45000000</f>
        <v>45000000</v>
      </c>
      <c r="W50" s="60"/>
      <c r="X50" s="60"/>
      <c r="Y50" s="61">
        <f t="shared" si="20"/>
        <v>45000000</v>
      </c>
    </row>
    <row r="51" spans="1:25" ht="15">
      <c r="A51" s="50"/>
      <c r="B51" s="53"/>
      <c r="C51" s="139"/>
      <c r="D51" s="138"/>
      <c r="E51" s="140"/>
      <c r="F51" s="141"/>
      <c r="G51" s="140"/>
      <c r="H51" s="179"/>
      <c r="I51" s="180"/>
      <c r="J51" s="140"/>
      <c r="K51" s="141"/>
      <c r="L51" s="181"/>
      <c r="M51" s="181"/>
      <c r="N51" s="181"/>
      <c r="O51" s="181"/>
      <c r="P51" s="181"/>
      <c r="Q51" s="181"/>
      <c r="R51" s="181"/>
      <c r="S51" s="181"/>
      <c r="T51" s="181"/>
      <c r="U51" s="181"/>
      <c r="V51" s="181">
        <f>SUM(V38:V50)</f>
        <v>1095217000</v>
      </c>
      <c r="W51" s="181">
        <f>SUM(W38:W50)</f>
        <v>0</v>
      </c>
      <c r="X51" s="181">
        <f>SUM(X38:X50)</f>
        <v>0</v>
      </c>
      <c r="Y51" s="181">
        <f>SUM(Y38:Y50)</f>
        <v>1095217000</v>
      </c>
    </row>
    <row r="52" spans="1:25" ht="15">
      <c r="A52" s="41"/>
      <c r="B52" s="70"/>
      <c r="C52" s="71"/>
      <c r="D52" s="70"/>
      <c r="E52" s="70"/>
      <c r="F52" s="71"/>
      <c r="G52" s="70"/>
      <c r="H52" s="72"/>
      <c r="I52" s="73"/>
      <c r="J52" s="70"/>
      <c r="K52" s="71"/>
      <c r="L52" s="74"/>
      <c r="M52" s="74"/>
      <c r="N52" s="74"/>
      <c r="O52" s="74"/>
      <c r="P52" s="74"/>
      <c r="Q52" s="74"/>
      <c r="R52" s="74"/>
      <c r="S52" s="74"/>
      <c r="T52" s="74"/>
      <c r="U52" s="74"/>
      <c r="V52" s="74">
        <f t="shared" ref="V52:Y52" si="21">V51</f>
        <v>1095217000</v>
      </c>
      <c r="W52" s="74">
        <f t="shared" si="21"/>
        <v>0</v>
      </c>
      <c r="X52" s="74">
        <f t="shared" si="21"/>
        <v>0</v>
      </c>
      <c r="Y52" s="74">
        <f t="shared" si="21"/>
        <v>1095217000</v>
      </c>
    </row>
    <row r="53" spans="1:25" s="29" customFormat="1" ht="20.25">
      <c r="A53" s="75"/>
      <c r="B53" s="75"/>
      <c r="C53" s="76"/>
      <c r="D53" s="75"/>
      <c r="E53" s="75"/>
      <c r="F53" s="76"/>
      <c r="G53" s="75"/>
      <c r="H53" s="77"/>
      <c r="I53" s="78"/>
      <c r="J53" s="75"/>
      <c r="K53" s="76"/>
      <c r="L53" s="79"/>
      <c r="M53" s="79"/>
      <c r="N53" s="79"/>
      <c r="O53" s="79"/>
      <c r="P53" s="79"/>
      <c r="Q53" s="79"/>
      <c r="R53" s="79"/>
      <c r="S53" s="79"/>
      <c r="T53" s="79"/>
      <c r="U53" s="79"/>
      <c r="V53" s="79">
        <f>V28+V34+V52</f>
        <v>1355217000</v>
      </c>
      <c r="W53" s="79"/>
      <c r="X53" s="79"/>
      <c r="Y53" s="79">
        <f>Y28+Y34+Y52</f>
        <v>1355217000</v>
      </c>
    </row>
    <row r="54" spans="1:25" s="29" customFormat="1" ht="20.25">
      <c r="A54" s="80"/>
      <c r="B54" s="80"/>
      <c r="C54" s="81"/>
      <c r="D54" s="80"/>
      <c r="E54" s="80"/>
      <c r="F54" s="81"/>
      <c r="G54" s="80"/>
      <c r="H54" s="82"/>
      <c r="I54" s="83"/>
      <c r="J54" s="80"/>
      <c r="K54" s="81"/>
      <c r="L54" s="84"/>
      <c r="M54" s="84"/>
      <c r="N54" s="84"/>
      <c r="O54" s="84"/>
      <c r="P54" s="84"/>
      <c r="Q54" s="84"/>
      <c r="R54" s="84"/>
      <c r="S54" s="84"/>
      <c r="T54" s="84"/>
      <c r="U54" s="84"/>
      <c r="V54" s="84">
        <f t="shared" ref="V54" si="22">V53</f>
        <v>1355217000</v>
      </c>
      <c r="W54" s="84"/>
      <c r="X54" s="84"/>
      <c r="Y54" s="84">
        <f t="shared" ref="Y54" si="23">Y53</f>
        <v>1355217000</v>
      </c>
    </row>
    <row r="55" spans="1:25" s="29" customFormat="1" ht="27.75" customHeight="1">
      <c r="A55" s="182"/>
      <c r="B55" s="183"/>
      <c r="C55" s="184"/>
      <c r="D55" s="183"/>
      <c r="E55" s="183"/>
      <c r="F55" s="184"/>
      <c r="G55" s="183"/>
      <c r="H55" s="185"/>
      <c r="I55" s="186"/>
      <c r="J55" s="183"/>
      <c r="K55" s="187"/>
      <c r="L55" s="188"/>
      <c r="M55" s="188"/>
      <c r="N55" s="188"/>
      <c r="O55" s="188"/>
      <c r="P55" s="188"/>
      <c r="Q55" s="188"/>
      <c r="R55" s="93"/>
      <c r="S55" s="93"/>
      <c r="T55" s="188"/>
      <c r="U55" s="188"/>
      <c r="V55" s="189"/>
      <c r="W55" s="188"/>
      <c r="X55" s="93"/>
      <c r="Y55" s="190"/>
    </row>
    <row r="56" spans="1:25" ht="20.25">
      <c r="A56" s="191" t="s">
        <v>133</v>
      </c>
      <c r="B56" s="192"/>
      <c r="C56" s="193"/>
      <c r="D56" s="192"/>
      <c r="E56" s="192"/>
      <c r="F56" s="193"/>
      <c r="G56" s="192"/>
      <c r="H56" s="192"/>
      <c r="I56" s="194"/>
      <c r="J56" s="192"/>
      <c r="K56" s="25"/>
      <c r="L56" s="195"/>
      <c r="M56" s="195"/>
      <c r="N56" s="195"/>
      <c r="O56" s="195"/>
      <c r="P56" s="195"/>
      <c r="Q56" s="195"/>
      <c r="R56" s="195"/>
      <c r="S56" s="195"/>
      <c r="T56" s="195"/>
      <c r="U56" s="195"/>
      <c r="V56" s="196"/>
      <c r="W56" s="195"/>
      <c r="X56" s="195"/>
      <c r="Y56" s="197"/>
    </row>
    <row r="57" spans="1:25">
      <c r="A57" s="11">
        <v>5</v>
      </c>
      <c r="B57" s="30" t="s">
        <v>76</v>
      </c>
      <c r="C57" s="31"/>
      <c r="D57" s="30"/>
      <c r="E57" s="30"/>
      <c r="F57" s="31"/>
      <c r="G57" s="30"/>
      <c r="H57" s="30"/>
      <c r="I57" s="32"/>
      <c r="J57" s="30"/>
      <c r="K57" s="30"/>
      <c r="L57" s="98"/>
      <c r="M57" s="98"/>
      <c r="N57" s="98"/>
      <c r="O57" s="98"/>
      <c r="P57" s="98"/>
      <c r="Q57" s="98"/>
      <c r="R57" s="98"/>
      <c r="S57" s="98"/>
      <c r="T57" s="98"/>
      <c r="U57" s="98"/>
      <c r="V57" s="99"/>
      <c r="W57" s="98"/>
      <c r="X57" s="98"/>
      <c r="Y57" s="100"/>
    </row>
    <row r="58" spans="1:25">
      <c r="A58" s="101"/>
      <c r="B58" s="198">
        <v>28</v>
      </c>
      <c r="C58" s="1081" t="s">
        <v>77</v>
      </c>
      <c r="D58" s="1081"/>
      <c r="E58" s="37"/>
      <c r="F58" s="38"/>
      <c r="G58" s="37"/>
      <c r="H58" s="37"/>
      <c r="I58" s="39"/>
      <c r="J58" s="37"/>
      <c r="K58" s="37"/>
      <c r="L58" s="102"/>
      <c r="M58" s="102"/>
      <c r="N58" s="102"/>
      <c r="O58" s="102"/>
      <c r="P58" s="102"/>
      <c r="Q58" s="102"/>
      <c r="R58" s="102"/>
      <c r="S58" s="102"/>
      <c r="T58" s="102"/>
      <c r="U58" s="102"/>
      <c r="V58" s="103"/>
      <c r="W58" s="102"/>
      <c r="X58" s="102"/>
      <c r="Y58" s="104"/>
    </row>
    <row r="59" spans="1:25">
      <c r="A59" s="50"/>
      <c r="B59" s="199"/>
      <c r="C59" s="200"/>
      <c r="D59" s="106"/>
      <c r="E59" s="107">
        <v>88</v>
      </c>
      <c r="F59" s="108" t="s">
        <v>134</v>
      </c>
      <c r="G59" s="109"/>
      <c r="H59" s="109"/>
      <c r="I59" s="110"/>
      <c r="J59" s="109"/>
      <c r="K59" s="109"/>
      <c r="L59" s="111"/>
      <c r="M59" s="111"/>
      <c r="N59" s="111"/>
      <c r="O59" s="111"/>
      <c r="P59" s="111"/>
      <c r="Q59" s="111"/>
      <c r="R59" s="111"/>
      <c r="S59" s="111"/>
      <c r="T59" s="111"/>
      <c r="U59" s="111"/>
      <c r="V59" s="112"/>
      <c r="W59" s="111"/>
      <c r="X59" s="111"/>
      <c r="Y59" s="113"/>
    </row>
    <row r="60" spans="1:25" ht="47.25" customHeight="1">
      <c r="A60" s="50"/>
      <c r="B60" s="201"/>
      <c r="C60" s="54">
        <v>38</v>
      </c>
      <c r="D60" s="52" t="s">
        <v>79</v>
      </c>
      <c r="E60" s="202"/>
      <c r="F60" s="203">
        <v>275</v>
      </c>
      <c r="G60" s="204" t="s">
        <v>29</v>
      </c>
      <c r="H60" s="1063" t="s">
        <v>81</v>
      </c>
      <c r="I60" s="1076" t="s">
        <v>135</v>
      </c>
      <c r="J60" s="1077" t="s">
        <v>136</v>
      </c>
      <c r="K60" s="203" t="s">
        <v>30</v>
      </c>
      <c r="L60" s="205"/>
      <c r="M60" s="206"/>
      <c r="N60" s="207"/>
      <c r="O60" s="205"/>
      <c r="P60" s="205"/>
      <c r="Q60" s="205"/>
      <c r="R60" s="205"/>
      <c r="S60" s="205"/>
      <c r="T60" s="205"/>
      <c r="U60" s="205"/>
      <c r="V60" s="208">
        <v>1100000000</v>
      </c>
      <c r="W60" s="205"/>
      <c r="X60" s="205"/>
      <c r="Y60" s="61">
        <f t="shared" ref="Y60:Y63" si="24">+L60+M60+N60+O60+P60+Q60+R60+S60+T60+U60+V60+W60+X60</f>
        <v>1100000000</v>
      </c>
    </row>
    <row r="61" spans="1:25" ht="53.25" customHeight="1">
      <c r="A61" s="50"/>
      <c r="B61" s="201"/>
      <c r="C61" s="54">
        <v>38</v>
      </c>
      <c r="D61" s="52" t="s">
        <v>79</v>
      </c>
      <c r="E61" s="202"/>
      <c r="F61" s="203">
        <v>276</v>
      </c>
      <c r="G61" s="52" t="s">
        <v>31</v>
      </c>
      <c r="H61" s="1063"/>
      <c r="I61" s="1061"/>
      <c r="J61" s="1064"/>
      <c r="K61" s="54" t="s">
        <v>30</v>
      </c>
      <c r="L61" s="205"/>
      <c r="M61" s="209"/>
      <c r="N61" s="205"/>
      <c r="O61" s="205"/>
      <c r="P61" s="205"/>
      <c r="Q61" s="205"/>
      <c r="R61" s="205"/>
      <c r="S61" s="205"/>
      <c r="T61" s="205"/>
      <c r="U61" s="205"/>
      <c r="V61" s="208">
        <f>200000000+50270000</f>
        <v>250270000</v>
      </c>
      <c r="W61" s="205"/>
      <c r="X61" s="205"/>
      <c r="Y61" s="61">
        <f t="shared" si="24"/>
        <v>250270000</v>
      </c>
    </row>
    <row r="62" spans="1:25" s="29" customFormat="1" ht="49.5" customHeight="1">
      <c r="A62" s="210"/>
      <c r="B62" s="211"/>
      <c r="C62" s="54">
        <v>38</v>
      </c>
      <c r="D62" s="52" t="s">
        <v>79</v>
      </c>
      <c r="E62" s="202"/>
      <c r="F62" s="212">
        <v>277</v>
      </c>
      <c r="G62" s="213" t="s">
        <v>32</v>
      </c>
      <c r="H62" s="1078"/>
      <c r="I62" s="1079"/>
      <c r="J62" s="1080"/>
      <c r="K62" s="162" t="s">
        <v>30</v>
      </c>
      <c r="L62" s="214"/>
      <c r="M62" s="215"/>
      <c r="N62" s="214"/>
      <c r="O62" s="214"/>
      <c r="P62" s="214"/>
      <c r="Q62" s="214"/>
      <c r="R62" s="214"/>
      <c r="S62" s="214"/>
      <c r="T62" s="214"/>
      <c r="U62" s="214"/>
      <c r="V62" s="216"/>
      <c r="W62" s="217"/>
      <c r="X62" s="217">
        <v>250000000</v>
      </c>
      <c r="Y62" s="61">
        <f t="shared" si="24"/>
        <v>250000000</v>
      </c>
    </row>
    <row r="63" spans="1:25" ht="72.75" customHeight="1">
      <c r="A63" s="50"/>
      <c r="B63" s="201"/>
      <c r="C63" s="54">
        <v>38</v>
      </c>
      <c r="D63" s="52" t="s">
        <v>79</v>
      </c>
      <c r="E63" s="202"/>
      <c r="F63" s="203">
        <v>279</v>
      </c>
      <c r="G63" s="52" t="s">
        <v>137</v>
      </c>
      <c r="H63" s="218" t="s">
        <v>81</v>
      </c>
      <c r="I63" s="219" t="s">
        <v>138</v>
      </c>
      <c r="J63" s="204" t="s">
        <v>139</v>
      </c>
      <c r="K63" s="54" t="s">
        <v>30</v>
      </c>
      <c r="L63" s="57"/>
      <c r="M63" s="57"/>
      <c r="N63" s="57"/>
      <c r="O63" s="57"/>
      <c r="P63" s="57"/>
      <c r="Q63" s="57"/>
      <c r="R63" s="57"/>
      <c r="S63" s="57"/>
      <c r="T63" s="57"/>
      <c r="U63" s="57"/>
      <c r="V63" s="59">
        <f>200000000+70864000</f>
        <v>270864000</v>
      </c>
      <c r="W63" s="60"/>
      <c r="X63" s="60"/>
      <c r="Y63" s="61">
        <f t="shared" si="24"/>
        <v>270864000</v>
      </c>
    </row>
    <row r="64" spans="1:25" ht="20.25" customHeight="1">
      <c r="A64" s="50"/>
      <c r="B64" s="220"/>
      <c r="C64" s="54"/>
      <c r="D64" s="202"/>
      <c r="E64" s="64"/>
      <c r="F64" s="65"/>
      <c r="G64" s="64"/>
      <c r="H64" s="66"/>
      <c r="I64" s="67"/>
      <c r="J64" s="64"/>
      <c r="K64" s="65"/>
      <c r="L64" s="68"/>
      <c r="M64" s="68"/>
      <c r="N64" s="68"/>
      <c r="O64" s="68"/>
      <c r="P64" s="68"/>
      <c r="Q64" s="68"/>
      <c r="R64" s="68"/>
      <c r="S64" s="68"/>
      <c r="T64" s="68"/>
      <c r="U64" s="68"/>
      <c r="V64" s="221">
        <f>SUM(V60:V63)</f>
        <v>1621134000</v>
      </c>
      <c r="W64" s="221">
        <f>SUM(W60:W63)</f>
        <v>0</v>
      </c>
      <c r="X64" s="221">
        <f>SUM(X60:X63)</f>
        <v>250000000</v>
      </c>
      <c r="Y64" s="221">
        <f>SUM(Y60:Y63)</f>
        <v>1871134000</v>
      </c>
    </row>
    <row r="65" spans="1:25" ht="20.25" customHeight="1">
      <c r="A65" s="63"/>
      <c r="B65" s="142"/>
      <c r="C65" s="71"/>
      <c r="D65" s="70"/>
      <c r="E65" s="70"/>
      <c r="F65" s="71"/>
      <c r="G65" s="70"/>
      <c r="H65" s="72"/>
      <c r="I65" s="73"/>
      <c r="J65" s="70"/>
      <c r="K65" s="71"/>
      <c r="L65" s="74"/>
      <c r="M65" s="74"/>
      <c r="N65" s="74"/>
      <c r="O65" s="74"/>
      <c r="P65" s="74"/>
      <c r="Q65" s="74"/>
      <c r="R65" s="74"/>
      <c r="S65" s="74"/>
      <c r="T65" s="74"/>
      <c r="U65" s="74"/>
      <c r="V65" s="222">
        <f t="shared" ref="V65:Y67" si="25">V64</f>
        <v>1621134000</v>
      </c>
      <c r="W65" s="222">
        <f t="shared" si="25"/>
        <v>0</v>
      </c>
      <c r="X65" s="222">
        <f t="shared" si="25"/>
        <v>250000000</v>
      </c>
      <c r="Y65" s="222">
        <f t="shared" si="25"/>
        <v>1871134000</v>
      </c>
    </row>
    <row r="66" spans="1:25" ht="21" customHeight="1">
      <c r="A66" s="75"/>
      <c r="B66" s="75"/>
      <c r="C66" s="76"/>
      <c r="D66" s="75"/>
      <c r="E66" s="75"/>
      <c r="F66" s="76"/>
      <c r="G66" s="75"/>
      <c r="H66" s="77"/>
      <c r="I66" s="78"/>
      <c r="J66" s="75"/>
      <c r="K66" s="76"/>
      <c r="L66" s="79"/>
      <c r="M66" s="79"/>
      <c r="N66" s="79"/>
      <c r="O66" s="79"/>
      <c r="P66" s="79"/>
      <c r="Q66" s="79"/>
      <c r="R66" s="79"/>
      <c r="S66" s="79"/>
      <c r="T66" s="79"/>
      <c r="U66" s="79"/>
      <c r="V66" s="223">
        <f t="shared" si="25"/>
        <v>1621134000</v>
      </c>
      <c r="W66" s="223">
        <f t="shared" si="25"/>
        <v>0</v>
      </c>
      <c r="X66" s="223">
        <f t="shared" si="25"/>
        <v>250000000</v>
      </c>
      <c r="Y66" s="223">
        <f t="shared" si="25"/>
        <v>1871134000</v>
      </c>
    </row>
    <row r="67" spans="1:25" ht="24" customHeight="1">
      <c r="A67" s="80"/>
      <c r="B67" s="80"/>
      <c r="C67" s="81"/>
      <c r="D67" s="80"/>
      <c r="E67" s="80"/>
      <c r="F67" s="81"/>
      <c r="G67" s="80"/>
      <c r="H67" s="82"/>
      <c r="I67" s="83"/>
      <c r="J67" s="80"/>
      <c r="K67" s="81"/>
      <c r="L67" s="84"/>
      <c r="M67" s="84"/>
      <c r="N67" s="84"/>
      <c r="O67" s="84"/>
      <c r="P67" s="84"/>
      <c r="Q67" s="84"/>
      <c r="R67" s="84"/>
      <c r="S67" s="84"/>
      <c r="T67" s="84"/>
      <c r="U67" s="84"/>
      <c r="V67" s="224">
        <f t="shared" si="25"/>
        <v>1621134000</v>
      </c>
      <c r="W67" s="224">
        <f t="shared" si="25"/>
        <v>0</v>
      </c>
      <c r="X67" s="224">
        <f t="shared" si="25"/>
        <v>250000000</v>
      </c>
      <c r="Y67" s="224">
        <f t="shared" si="25"/>
        <v>1871134000</v>
      </c>
    </row>
    <row r="68" spans="1:25" ht="26.25" customHeight="1">
      <c r="A68" s="85"/>
      <c r="B68" s="86"/>
      <c r="C68" s="87"/>
      <c r="D68" s="86"/>
      <c r="E68" s="86"/>
      <c r="F68" s="87"/>
      <c r="G68" s="86"/>
      <c r="H68" s="88"/>
      <c r="I68" s="89"/>
      <c r="J68" s="86"/>
      <c r="K68" s="87"/>
      <c r="L68" s="90"/>
      <c r="M68" s="90"/>
      <c r="N68" s="90"/>
      <c r="O68" s="90"/>
      <c r="P68" s="90"/>
      <c r="Q68" s="90"/>
      <c r="R68" s="91"/>
      <c r="S68" s="91"/>
      <c r="T68" s="90"/>
      <c r="U68" s="90"/>
      <c r="V68" s="92"/>
      <c r="W68" s="90"/>
      <c r="X68" s="91"/>
      <c r="Y68" s="94"/>
    </row>
    <row r="69" spans="1:25" ht="20.25">
      <c r="A69" s="23" t="s">
        <v>140</v>
      </c>
      <c r="B69" s="24"/>
      <c r="C69" s="25"/>
      <c r="D69" s="24"/>
      <c r="E69" s="24"/>
      <c r="F69" s="25"/>
      <c r="G69" s="24"/>
      <c r="H69" s="24"/>
      <c r="I69" s="26"/>
      <c r="J69" s="24"/>
      <c r="K69" s="25"/>
      <c r="L69" s="95"/>
      <c r="M69" s="95"/>
      <c r="N69" s="95"/>
      <c r="O69" s="95"/>
      <c r="P69" s="95"/>
      <c r="Q69" s="95"/>
      <c r="R69" s="95"/>
      <c r="S69" s="95"/>
      <c r="T69" s="95"/>
      <c r="U69" s="95"/>
      <c r="V69" s="96"/>
      <c r="W69" s="95"/>
      <c r="X69" s="95"/>
      <c r="Y69" s="97"/>
    </row>
    <row r="70" spans="1:25" ht="23.25" customHeight="1">
      <c r="A70" s="11">
        <v>2</v>
      </c>
      <c r="B70" s="30" t="s">
        <v>141</v>
      </c>
      <c r="C70" s="31"/>
      <c r="D70" s="30"/>
      <c r="E70" s="30"/>
      <c r="F70" s="31"/>
      <c r="G70" s="30"/>
      <c r="H70" s="30"/>
      <c r="I70" s="32"/>
      <c r="J70" s="30"/>
      <c r="K70" s="30"/>
      <c r="L70" s="98"/>
      <c r="M70" s="98"/>
      <c r="N70" s="98"/>
      <c r="O70" s="98"/>
      <c r="P70" s="98"/>
      <c r="Q70" s="98"/>
      <c r="R70" s="98"/>
      <c r="S70" s="98"/>
      <c r="T70" s="98"/>
      <c r="U70" s="98"/>
      <c r="V70" s="99"/>
      <c r="W70" s="98"/>
      <c r="X70" s="98"/>
      <c r="Y70" s="100"/>
    </row>
    <row r="71" spans="1:25">
      <c r="A71" s="101"/>
      <c r="B71" s="198">
        <v>4</v>
      </c>
      <c r="C71" s="36" t="s">
        <v>142</v>
      </c>
      <c r="D71" s="37"/>
      <c r="E71" s="37"/>
      <c r="F71" s="38"/>
      <c r="G71" s="37"/>
      <c r="H71" s="37"/>
      <c r="I71" s="39"/>
      <c r="J71" s="37"/>
      <c r="K71" s="37"/>
      <c r="L71" s="102"/>
      <c r="M71" s="102"/>
      <c r="N71" s="102"/>
      <c r="O71" s="102"/>
      <c r="P71" s="102"/>
      <c r="Q71" s="102"/>
      <c r="R71" s="102"/>
      <c r="S71" s="102"/>
      <c r="T71" s="102"/>
      <c r="U71" s="102"/>
      <c r="V71" s="103"/>
      <c r="W71" s="102"/>
      <c r="X71" s="102"/>
      <c r="Y71" s="104"/>
    </row>
    <row r="72" spans="1:25">
      <c r="A72" s="50"/>
      <c r="B72" s="225"/>
      <c r="C72" s="200"/>
      <c r="D72" s="106"/>
      <c r="E72" s="107">
        <v>14</v>
      </c>
      <c r="F72" s="109" t="s">
        <v>143</v>
      </c>
      <c r="G72" s="109"/>
      <c r="H72" s="109"/>
      <c r="I72" s="110"/>
      <c r="J72" s="109"/>
      <c r="K72" s="109"/>
      <c r="L72" s="111"/>
      <c r="M72" s="111"/>
      <c r="N72" s="111"/>
      <c r="O72" s="111"/>
      <c r="P72" s="111"/>
      <c r="Q72" s="111"/>
      <c r="R72" s="111"/>
      <c r="S72" s="111"/>
      <c r="T72" s="111"/>
      <c r="U72" s="111"/>
      <c r="V72" s="112"/>
      <c r="W72" s="111"/>
      <c r="X72" s="111"/>
      <c r="Y72" s="113"/>
    </row>
    <row r="73" spans="1:25" ht="71.25" customHeight="1">
      <c r="A73" s="226"/>
      <c r="B73" s="227"/>
      <c r="C73" s="228">
        <v>9</v>
      </c>
      <c r="D73" s="229" t="s">
        <v>144</v>
      </c>
      <c r="E73" s="230"/>
      <c r="F73" s="231">
        <v>54</v>
      </c>
      <c r="G73" s="232" t="s">
        <v>145</v>
      </c>
      <c r="H73" s="228" t="s">
        <v>146</v>
      </c>
      <c r="I73" s="233" t="s">
        <v>147</v>
      </c>
      <c r="J73" s="229" t="s">
        <v>148</v>
      </c>
      <c r="K73" s="234" t="s">
        <v>30</v>
      </c>
      <c r="L73" s="235"/>
      <c r="M73" s="235"/>
      <c r="N73" s="236">
        <v>1158478847</v>
      </c>
      <c r="O73" s="235"/>
      <c r="P73" s="235"/>
      <c r="Q73" s="235"/>
      <c r="R73" s="235"/>
      <c r="S73" s="235"/>
      <c r="T73" s="235"/>
      <c r="U73" s="235"/>
      <c r="V73" s="237">
        <f>100000000-50000000+23393000+100000000+25000000</f>
        <v>198393000</v>
      </c>
      <c r="W73" s="238"/>
      <c r="X73" s="238"/>
      <c r="Y73" s="61">
        <f t="shared" ref="Y73" si="26">+L73+M73+N73+O73+P73+Q73+R73+S73+T73+U73+V73+W73+X73</f>
        <v>1356871847</v>
      </c>
    </row>
    <row r="74" spans="1:25" ht="18.75" customHeight="1">
      <c r="A74" s="53"/>
      <c r="B74" s="178"/>
      <c r="C74" s="54"/>
      <c r="D74" s="52"/>
      <c r="E74" s="64"/>
      <c r="F74" s="65"/>
      <c r="G74" s="64"/>
      <c r="H74" s="65"/>
      <c r="I74" s="67"/>
      <c r="J74" s="64"/>
      <c r="K74" s="65"/>
      <c r="L74" s="68"/>
      <c r="M74" s="68"/>
      <c r="N74" s="68">
        <f t="shared" ref="N74:Y74" si="27">SUM(N73:N73)</f>
        <v>1158478847</v>
      </c>
      <c r="O74" s="68">
        <f t="shared" si="27"/>
        <v>0</v>
      </c>
      <c r="P74" s="68">
        <f t="shared" si="27"/>
        <v>0</v>
      </c>
      <c r="Q74" s="68">
        <f t="shared" si="27"/>
        <v>0</v>
      </c>
      <c r="R74" s="68">
        <f t="shared" si="27"/>
        <v>0</v>
      </c>
      <c r="S74" s="68">
        <f t="shared" si="27"/>
        <v>0</v>
      </c>
      <c r="T74" s="68">
        <f t="shared" si="27"/>
        <v>0</v>
      </c>
      <c r="U74" s="68">
        <f t="shared" si="27"/>
        <v>0</v>
      </c>
      <c r="V74" s="68">
        <f t="shared" si="27"/>
        <v>198393000</v>
      </c>
      <c r="W74" s="68">
        <f t="shared" si="27"/>
        <v>0</v>
      </c>
      <c r="X74" s="68">
        <f t="shared" si="27"/>
        <v>0</v>
      </c>
      <c r="Y74" s="68">
        <f t="shared" si="27"/>
        <v>1356871847</v>
      </c>
    </row>
    <row r="75" spans="1:25" ht="15">
      <c r="A75" s="50"/>
      <c r="B75" s="239"/>
      <c r="C75" s="54"/>
      <c r="D75" s="52"/>
      <c r="E75" s="52"/>
      <c r="F75" s="54"/>
      <c r="G75" s="52"/>
      <c r="H75" s="54"/>
      <c r="I75" s="115"/>
      <c r="J75" s="52"/>
      <c r="K75" s="54"/>
      <c r="L75" s="57"/>
      <c r="M75" s="57"/>
      <c r="N75" s="57"/>
      <c r="O75" s="57"/>
      <c r="P75" s="57"/>
      <c r="Q75" s="57"/>
      <c r="R75" s="240"/>
      <c r="S75" s="240"/>
      <c r="T75" s="57"/>
      <c r="U75" s="57"/>
      <c r="V75" s="241"/>
      <c r="W75" s="60"/>
      <c r="X75" s="217"/>
      <c r="Y75" s="94"/>
    </row>
    <row r="76" spans="1:25">
      <c r="A76" s="50"/>
      <c r="B76" s="239"/>
      <c r="C76" s="242"/>
      <c r="D76" s="137"/>
      <c r="E76" s="243">
        <v>15</v>
      </c>
      <c r="F76" s="244" t="s">
        <v>149</v>
      </c>
      <c r="G76" s="109"/>
      <c r="H76" s="109"/>
      <c r="I76" s="110"/>
      <c r="J76" s="245"/>
      <c r="K76" s="109"/>
      <c r="L76" s="111"/>
      <c r="M76" s="111"/>
      <c r="N76" s="111"/>
      <c r="O76" s="111"/>
      <c r="P76" s="111"/>
      <c r="Q76" s="111"/>
      <c r="R76" s="111"/>
      <c r="S76" s="111"/>
      <c r="T76" s="111"/>
      <c r="U76" s="111"/>
      <c r="V76" s="112"/>
      <c r="W76" s="111"/>
      <c r="X76" s="111"/>
      <c r="Y76" s="113"/>
    </row>
    <row r="77" spans="1:25" ht="60.75" customHeight="1">
      <c r="A77" s="226"/>
      <c r="B77" s="227"/>
      <c r="C77" s="228">
        <v>14</v>
      </c>
      <c r="D77" s="246" t="s">
        <v>150</v>
      </c>
      <c r="E77" s="230"/>
      <c r="F77" s="234">
        <v>57</v>
      </c>
      <c r="G77" s="232" t="s">
        <v>151</v>
      </c>
      <c r="H77" s="246" t="s">
        <v>152</v>
      </c>
      <c r="I77" s="1082" t="s">
        <v>153</v>
      </c>
      <c r="J77" s="1083" t="s">
        <v>154</v>
      </c>
      <c r="K77" s="234" t="s">
        <v>109</v>
      </c>
      <c r="L77" s="247">
        <v>1405091000</v>
      </c>
      <c r="M77" s="235"/>
      <c r="N77" s="235"/>
      <c r="O77" s="235"/>
      <c r="P77" s="235"/>
      <c r="Q77" s="235"/>
      <c r="R77" s="235"/>
      <c r="S77" s="235"/>
      <c r="T77" s="235"/>
      <c r="U77" s="235"/>
      <c r="V77" s="237"/>
      <c r="W77" s="238"/>
      <c r="X77" s="248"/>
      <c r="Y77" s="61">
        <f t="shared" ref="Y77:Y80" si="28">+L77+M77+N77+O77+P77+Q77+R77+S77+T77+U77+V77+W77+X77</f>
        <v>1405091000</v>
      </c>
    </row>
    <row r="78" spans="1:25" ht="75" customHeight="1">
      <c r="A78" s="226"/>
      <c r="B78" s="227"/>
      <c r="C78" s="234">
        <v>36</v>
      </c>
      <c r="D78" s="249" t="s">
        <v>155</v>
      </c>
      <c r="E78" s="249"/>
      <c r="F78" s="234">
        <v>59</v>
      </c>
      <c r="G78" s="232" t="s">
        <v>156</v>
      </c>
      <c r="H78" s="246" t="s">
        <v>157</v>
      </c>
      <c r="I78" s="1082"/>
      <c r="J78" s="1083"/>
      <c r="K78" s="234" t="s">
        <v>109</v>
      </c>
      <c r="L78" s="247">
        <v>3273930000</v>
      </c>
      <c r="M78" s="235"/>
      <c r="N78" s="235"/>
      <c r="O78" s="235"/>
      <c r="P78" s="235"/>
      <c r="Q78" s="235"/>
      <c r="R78" s="235"/>
      <c r="S78" s="235"/>
      <c r="T78" s="235"/>
      <c r="U78" s="235"/>
      <c r="V78" s="237"/>
      <c r="W78" s="238"/>
      <c r="X78" s="238"/>
      <c r="Y78" s="61">
        <f t="shared" si="28"/>
        <v>3273930000</v>
      </c>
    </row>
    <row r="79" spans="1:25" ht="88.5" customHeight="1">
      <c r="A79" s="226"/>
      <c r="B79" s="227"/>
      <c r="C79" s="234">
        <v>22</v>
      </c>
      <c r="D79" s="249" t="s">
        <v>158</v>
      </c>
      <c r="E79" s="249"/>
      <c r="F79" s="234">
        <v>62</v>
      </c>
      <c r="G79" s="232" t="s">
        <v>159</v>
      </c>
      <c r="H79" s="249" t="s">
        <v>157</v>
      </c>
      <c r="I79" s="1082"/>
      <c r="J79" s="1083"/>
      <c r="K79" s="234" t="s">
        <v>30</v>
      </c>
      <c r="L79" s="247"/>
      <c r="M79" s="235"/>
      <c r="N79" s="235"/>
      <c r="O79" s="235"/>
      <c r="P79" s="235"/>
      <c r="Q79" s="235"/>
      <c r="R79" s="235"/>
      <c r="S79" s="235"/>
      <c r="T79" s="235"/>
      <c r="U79" s="235"/>
      <c r="V79" s="250">
        <f>100000000-75000000+50000000</f>
        <v>75000000</v>
      </c>
      <c r="W79" s="238"/>
      <c r="X79" s="238"/>
      <c r="Y79" s="61">
        <f t="shared" si="28"/>
        <v>75000000</v>
      </c>
    </row>
    <row r="80" spans="1:25" ht="75" customHeight="1">
      <c r="A80" s="226"/>
      <c r="B80" s="227"/>
      <c r="C80" s="251">
        <v>32</v>
      </c>
      <c r="D80" s="232" t="s">
        <v>160</v>
      </c>
      <c r="E80" s="249"/>
      <c r="F80" s="234">
        <v>63</v>
      </c>
      <c r="G80" s="232" t="s">
        <v>161</v>
      </c>
      <c r="H80" s="249" t="s">
        <v>162</v>
      </c>
      <c r="I80" s="1082"/>
      <c r="J80" s="1083"/>
      <c r="K80" s="234" t="s">
        <v>109</v>
      </c>
      <c r="L80" s="247">
        <f>702545660+505</f>
        <v>702546165</v>
      </c>
      <c r="M80" s="235"/>
      <c r="N80" s="235"/>
      <c r="O80" s="235"/>
      <c r="P80" s="235"/>
      <c r="Q80" s="235"/>
      <c r="R80" s="235"/>
      <c r="S80" s="235"/>
      <c r="T80" s="238"/>
      <c r="U80" s="238"/>
      <c r="V80" s="250"/>
      <c r="W80" s="238"/>
      <c r="X80" s="238"/>
      <c r="Y80" s="61">
        <f t="shared" si="28"/>
        <v>702546165</v>
      </c>
    </row>
    <row r="81" spans="1:25" ht="26.25" customHeight="1">
      <c r="A81" s="50"/>
      <c r="B81" s="252"/>
      <c r="C81" s="54"/>
      <c r="D81" s="52"/>
      <c r="E81" s="64"/>
      <c r="F81" s="65"/>
      <c r="G81" s="253"/>
      <c r="H81" s="254"/>
      <c r="I81" s="67"/>
      <c r="J81" s="253"/>
      <c r="K81" s="65"/>
      <c r="L81" s="68">
        <f t="shared" ref="L81:Y81" si="29">SUM(L77:L80)</f>
        <v>5381567165</v>
      </c>
      <c r="M81" s="68">
        <f t="shared" si="29"/>
        <v>0</v>
      </c>
      <c r="N81" s="68">
        <f t="shared" si="29"/>
        <v>0</v>
      </c>
      <c r="O81" s="68">
        <f t="shared" si="29"/>
        <v>0</v>
      </c>
      <c r="P81" s="68">
        <f t="shared" si="29"/>
        <v>0</v>
      </c>
      <c r="Q81" s="68">
        <f t="shared" si="29"/>
        <v>0</v>
      </c>
      <c r="R81" s="68">
        <f t="shared" si="29"/>
        <v>0</v>
      </c>
      <c r="S81" s="68">
        <f t="shared" si="29"/>
        <v>0</v>
      </c>
      <c r="T81" s="68">
        <f t="shared" si="29"/>
        <v>0</v>
      </c>
      <c r="U81" s="68">
        <f t="shared" si="29"/>
        <v>0</v>
      </c>
      <c r="V81" s="68">
        <f t="shared" si="29"/>
        <v>75000000</v>
      </c>
      <c r="W81" s="68">
        <f t="shared" si="29"/>
        <v>0</v>
      </c>
      <c r="X81" s="68">
        <f t="shared" si="29"/>
        <v>0</v>
      </c>
      <c r="Y81" s="68">
        <f t="shared" si="29"/>
        <v>5456567165</v>
      </c>
    </row>
    <row r="82" spans="1:25" ht="22.5" customHeight="1">
      <c r="A82" s="63"/>
      <c r="B82" s="142"/>
      <c r="C82" s="71"/>
      <c r="D82" s="70"/>
      <c r="E82" s="70"/>
      <c r="F82" s="71"/>
      <c r="G82" s="70"/>
      <c r="H82" s="71"/>
      <c r="I82" s="73"/>
      <c r="J82" s="70"/>
      <c r="K82" s="71"/>
      <c r="L82" s="74">
        <f t="shared" ref="L82:Y82" si="30">+L81+L74</f>
        <v>5381567165</v>
      </c>
      <c r="M82" s="74">
        <f t="shared" si="30"/>
        <v>0</v>
      </c>
      <c r="N82" s="74">
        <f t="shared" si="30"/>
        <v>1158478847</v>
      </c>
      <c r="O82" s="74">
        <f t="shared" si="30"/>
        <v>0</v>
      </c>
      <c r="P82" s="74">
        <f t="shared" si="30"/>
        <v>0</v>
      </c>
      <c r="Q82" s="74">
        <f t="shared" si="30"/>
        <v>0</v>
      </c>
      <c r="R82" s="74">
        <f t="shared" si="30"/>
        <v>0</v>
      </c>
      <c r="S82" s="74">
        <f t="shared" si="30"/>
        <v>0</v>
      </c>
      <c r="T82" s="74">
        <f t="shared" si="30"/>
        <v>0</v>
      </c>
      <c r="U82" s="74">
        <f t="shared" si="30"/>
        <v>0</v>
      </c>
      <c r="V82" s="74">
        <f t="shared" si="30"/>
        <v>273393000</v>
      </c>
      <c r="W82" s="74">
        <f t="shared" si="30"/>
        <v>0</v>
      </c>
      <c r="X82" s="74">
        <f t="shared" si="30"/>
        <v>0</v>
      </c>
      <c r="Y82" s="74">
        <f t="shared" si="30"/>
        <v>6813439012</v>
      </c>
    </row>
    <row r="83" spans="1:25" ht="24" customHeight="1">
      <c r="A83" s="75"/>
      <c r="B83" s="255"/>
      <c r="C83" s="76"/>
      <c r="D83" s="75"/>
      <c r="E83" s="75"/>
      <c r="F83" s="76"/>
      <c r="G83" s="75"/>
      <c r="H83" s="76"/>
      <c r="I83" s="78"/>
      <c r="J83" s="75"/>
      <c r="K83" s="76"/>
      <c r="L83" s="79">
        <f t="shared" ref="L83:Y83" si="31">+L82</f>
        <v>5381567165</v>
      </c>
      <c r="M83" s="79">
        <f t="shared" si="31"/>
        <v>0</v>
      </c>
      <c r="N83" s="79">
        <f t="shared" si="31"/>
        <v>1158478847</v>
      </c>
      <c r="O83" s="79">
        <f t="shared" si="31"/>
        <v>0</v>
      </c>
      <c r="P83" s="79">
        <f t="shared" si="31"/>
        <v>0</v>
      </c>
      <c r="Q83" s="79">
        <f t="shared" si="31"/>
        <v>0</v>
      </c>
      <c r="R83" s="79">
        <f t="shared" si="31"/>
        <v>0</v>
      </c>
      <c r="S83" s="79">
        <f t="shared" si="31"/>
        <v>0</v>
      </c>
      <c r="T83" s="79">
        <f t="shared" si="31"/>
        <v>0</v>
      </c>
      <c r="U83" s="79">
        <f t="shared" si="31"/>
        <v>0</v>
      </c>
      <c r="V83" s="79">
        <f t="shared" si="31"/>
        <v>273393000</v>
      </c>
      <c r="W83" s="79">
        <f t="shared" si="31"/>
        <v>0</v>
      </c>
      <c r="X83" s="79">
        <f t="shared" si="31"/>
        <v>0</v>
      </c>
      <c r="Y83" s="79">
        <f t="shared" si="31"/>
        <v>6813439012</v>
      </c>
    </row>
    <row r="84" spans="1:25" ht="15">
      <c r="A84" s="85"/>
      <c r="B84" s="86"/>
      <c r="C84" s="87"/>
      <c r="D84" s="86"/>
      <c r="E84" s="86"/>
      <c r="F84" s="87"/>
      <c r="G84" s="86"/>
      <c r="H84" s="87"/>
      <c r="I84" s="89"/>
      <c r="J84" s="86"/>
      <c r="K84" s="87"/>
      <c r="L84" s="90"/>
      <c r="M84" s="90"/>
      <c r="N84" s="90"/>
      <c r="O84" s="90"/>
      <c r="P84" s="90"/>
      <c r="Q84" s="188"/>
      <c r="R84" s="93"/>
      <c r="S84" s="93"/>
      <c r="T84" s="188"/>
      <c r="U84" s="90"/>
      <c r="V84" s="122"/>
      <c r="W84" s="90"/>
      <c r="X84" s="91"/>
      <c r="Y84" s="94"/>
    </row>
    <row r="85" spans="1:25">
      <c r="A85" s="11">
        <v>1</v>
      </c>
      <c r="B85" s="30" t="s">
        <v>163</v>
      </c>
      <c r="C85" s="31"/>
      <c r="D85" s="30"/>
      <c r="E85" s="30"/>
      <c r="F85" s="31"/>
      <c r="G85" s="30"/>
      <c r="H85" s="30"/>
      <c r="I85" s="32"/>
      <c r="J85" s="30"/>
      <c r="K85" s="30"/>
      <c r="L85" s="98"/>
      <c r="M85" s="98"/>
      <c r="N85" s="98"/>
      <c r="O85" s="98"/>
      <c r="P85" s="98"/>
      <c r="Q85" s="98"/>
      <c r="R85" s="98"/>
      <c r="S85" s="98"/>
      <c r="T85" s="98"/>
      <c r="U85" s="98"/>
      <c r="V85" s="99"/>
      <c r="W85" s="98"/>
      <c r="X85" s="98"/>
      <c r="Y85" s="100"/>
    </row>
    <row r="86" spans="1:25">
      <c r="A86" s="101"/>
      <c r="B86" s="149">
        <v>1</v>
      </c>
      <c r="C86" s="36" t="s">
        <v>164</v>
      </c>
      <c r="D86" s="37"/>
      <c r="E86" s="37"/>
      <c r="F86" s="38"/>
      <c r="G86" s="37"/>
      <c r="H86" s="37"/>
      <c r="I86" s="39"/>
      <c r="J86" s="37"/>
      <c r="K86" s="37"/>
      <c r="L86" s="102"/>
      <c r="M86" s="102"/>
      <c r="N86" s="102"/>
      <c r="O86" s="102"/>
      <c r="P86" s="102"/>
      <c r="Q86" s="102"/>
      <c r="R86" s="102"/>
      <c r="S86" s="102"/>
      <c r="T86" s="102"/>
      <c r="U86" s="102"/>
      <c r="V86" s="103"/>
      <c r="W86" s="102"/>
      <c r="X86" s="102"/>
      <c r="Y86" s="104"/>
    </row>
    <row r="87" spans="1:25" ht="15">
      <c r="A87" s="50"/>
      <c r="B87" s="101"/>
      <c r="C87" s="200"/>
      <c r="D87" s="106"/>
      <c r="E87" s="107">
        <v>2</v>
      </c>
      <c r="F87" s="109" t="s">
        <v>165</v>
      </c>
      <c r="G87" s="109"/>
      <c r="H87" s="109"/>
      <c r="I87" s="109"/>
      <c r="J87" s="109"/>
      <c r="K87" s="109"/>
      <c r="L87" s="111"/>
      <c r="M87" s="111"/>
      <c r="N87" s="111"/>
      <c r="O87" s="111"/>
      <c r="P87" s="111"/>
      <c r="Q87" s="111"/>
      <c r="R87" s="111"/>
      <c r="S87" s="111"/>
      <c r="T87" s="111"/>
      <c r="U87" s="111"/>
      <c r="V87" s="112"/>
      <c r="W87" s="111"/>
      <c r="X87" s="111"/>
      <c r="Y87" s="113"/>
    </row>
    <row r="88" spans="1:25" ht="78" customHeight="1">
      <c r="A88" s="226"/>
      <c r="B88" s="226"/>
      <c r="C88" s="256">
        <v>3</v>
      </c>
      <c r="D88" s="232" t="s">
        <v>166</v>
      </c>
      <c r="E88" s="246"/>
      <c r="F88" s="234">
        <v>9</v>
      </c>
      <c r="G88" s="232" t="s">
        <v>167</v>
      </c>
      <c r="H88" s="232" t="s">
        <v>168</v>
      </c>
      <c r="I88" s="257" t="s">
        <v>169</v>
      </c>
      <c r="J88" s="232" t="s">
        <v>170</v>
      </c>
      <c r="K88" s="234" t="s">
        <v>109</v>
      </c>
      <c r="L88" s="258">
        <v>76050000</v>
      </c>
      <c r="M88" s="235"/>
      <c r="N88" s="235"/>
      <c r="O88" s="235"/>
      <c r="P88" s="235"/>
      <c r="Q88" s="235"/>
      <c r="R88" s="235"/>
      <c r="S88" s="235"/>
      <c r="T88" s="235"/>
      <c r="U88" s="258">
        <v>4200000</v>
      </c>
      <c r="V88" s="237"/>
      <c r="W88" s="238"/>
      <c r="X88" s="238"/>
      <c r="Y88" s="61">
        <f t="shared" ref="Y88:Y93" si="32">+L88+M88+N88+O88+P88+Q88+R88+S88+T88+U88+V88+W88+X88</f>
        <v>80250000</v>
      </c>
    </row>
    <row r="89" spans="1:25" ht="84.75" customHeight="1">
      <c r="A89" s="226"/>
      <c r="B89" s="226"/>
      <c r="C89" s="256">
        <v>3</v>
      </c>
      <c r="D89" s="232" t="s">
        <v>166</v>
      </c>
      <c r="E89" s="230"/>
      <c r="F89" s="234">
        <v>9</v>
      </c>
      <c r="G89" s="232" t="s">
        <v>167</v>
      </c>
      <c r="H89" s="232" t="s">
        <v>168</v>
      </c>
      <c r="I89" s="257" t="s">
        <v>171</v>
      </c>
      <c r="J89" s="232" t="s">
        <v>172</v>
      </c>
      <c r="K89" s="234" t="s">
        <v>109</v>
      </c>
      <c r="L89" s="235"/>
      <c r="M89" s="235"/>
      <c r="N89" s="235"/>
      <c r="O89" s="235"/>
      <c r="P89" s="235"/>
      <c r="Q89" s="235"/>
      <c r="R89" s="235"/>
      <c r="S89" s="235"/>
      <c r="T89" s="238"/>
      <c r="U89" s="259">
        <v>1044000000</v>
      </c>
      <c r="V89" s="237"/>
      <c r="W89" s="238"/>
      <c r="X89" s="238"/>
      <c r="Y89" s="61">
        <f t="shared" si="32"/>
        <v>1044000000</v>
      </c>
    </row>
    <row r="90" spans="1:25" ht="83.25" customHeight="1">
      <c r="A90" s="226"/>
      <c r="B90" s="226"/>
      <c r="C90" s="256">
        <v>3</v>
      </c>
      <c r="D90" s="232" t="s">
        <v>166</v>
      </c>
      <c r="E90" s="230"/>
      <c r="F90" s="234">
        <v>10</v>
      </c>
      <c r="G90" s="232" t="s">
        <v>173</v>
      </c>
      <c r="H90" s="232" t="s">
        <v>168</v>
      </c>
      <c r="I90" s="257" t="s">
        <v>174</v>
      </c>
      <c r="J90" s="232" t="s">
        <v>175</v>
      </c>
      <c r="K90" s="234" t="s">
        <v>109</v>
      </c>
      <c r="L90" s="235"/>
      <c r="M90" s="235"/>
      <c r="N90" s="235"/>
      <c r="O90" s="235"/>
      <c r="P90" s="235"/>
      <c r="Q90" s="235"/>
      <c r="R90" s="235"/>
      <c r="S90" s="235"/>
      <c r="T90" s="235"/>
      <c r="U90" s="236">
        <v>80000000</v>
      </c>
      <c r="V90" s="237"/>
      <c r="W90" s="238"/>
      <c r="X90" s="238"/>
      <c r="Y90" s="61">
        <f t="shared" si="32"/>
        <v>80000000</v>
      </c>
    </row>
    <row r="91" spans="1:25" s="29" customFormat="1" ht="81" customHeight="1">
      <c r="A91" s="226"/>
      <c r="B91" s="226"/>
      <c r="C91" s="256">
        <v>3</v>
      </c>
      <c r="D91" s="232" t="s">
        <v>166</v>
      </c>
      <c r="E91" s="230"/>
      <c r="F91" s="234">
        <v>11</v>
      </c>
      <c r="G91" s="232" t="s">
        <v>176</v>
      </c>
      <c r="H91" s="232" t="s">
        <v>168</v>
      </c>
      <c r="I91" s="257" t="s">
        <v>177</v>
      </c>
      <c r="J91" s="260" t="s">
        <v>178</v>
      </c>
      <c r="K91" s="234" t="s">
        <v>30</v>
      </c>
      <c r="L91" s="235"/>
      <c r="M91" s="235"/>
      <c r="N91" s="235"/>
      <c r="O91" s="235"/>
      <c r="P91" s="235"/>
      <c r="Q91" s="235"/>
      <c r="R91" s="235"/>
      <c r="S91" s="235"/>
      <c r="T91" s="235"/>
      <c r="U91" s="236">
        <v>200000000</v>
      </c>
      <c r="V91" s="237"/>
      <c r="W91" s="238"/>
      <c r="X91" s="238"/>
      <c r="Y91" s="61">
        <f t="shared" si="32"/>
        <v>200000000</v>
      </c>
    </row>
    <row r="92" spans="1:25" ht="114" customHeight="1">
      <c r="A92" s="226"/>
      <c r="B92" s="226"/>
      <c r="C92" s="256">
        <v>3</v>
      </c>
      <c r="D92" s="232" t="s">
        <v>166</v>
      </c>
      <c r="E92" s="230"/>
      <c r="F92" s="234">
        <v>12</v>
      </c>
      <c r="G92" s="232" t="s">
        <v>179</v>
      </c>
      <c r="H92" s="232" t="s">
        <v>168</v>
      </c>
      <c r="I92" s="257" t="s">
        <v>180</v>
      </c>
      <c r="J92" s="260" t="s">
        <v>181</v>
      </c>
      <c r="K92" s="234" t="s">
        <v>30</v>
      </c>
      <c r="L92" s="235"/>
      <c r="M92" s="235"/>
      <c r="N92" s="235"/>
      <c r="O92" s="235"/>
      <c r="P92" s="235"/>
      <c r="Q92" s="235"/>
      <c r="R92" s="235"/>
      <c r="S92" s="235"/>
      <c r="T92" s="235"/>
      <c r="U92" s="236">
        <v>1145000000</v>
      </c>
      <c r="V92" s="237"/>
      <c r="W92" s="238"/>
      <c r="X92" s="238"/>
      <c r="Y92" s="61">
        <f t="shared" si="32"/>
        <v>1145000000</v>
      </c>
    </row>
    <row r="93" spans="1:25" ht="90" customHeight="1">
      <c r="A93" s="226"/>
      <c r="B93" s="226"/>
      <c r="C93" s="256">
        <v>3</v>
      </c>
      <c r="D93" s="232" t="s">
        <v>166</v>
      </c>
      <c r="E93" s="230"/>
      <c r="F93" s="234">
        <v>13</v>
      </c>
      <c r="G93" s="232" t="s">
        <v>182</v>
      </c>
      <c r="H93" s="232" t="s">
        <v>168</v>
      </c>
      <c r="I93" s="257" t="s">
        <v>183</v>
      </c>
      <c r="J93" s="260" t="s">
        <v>184</v>
      </c>
      <c r="K93" s="234" t="s">
        <v>30</v>
      </c>
      <c r="L93" s="235"/>
      <c r="M93" s="235"/>
      <c r="N93" s="235"/>
      <c r="O93" s="235"/>
      <c r="P93" s="235"/>
      <c r="Q93" s="235"/>
      <c r="R93" s="235"/>
      <c r="S93" s="235"/>
      <c r="T93" s="235"/>
      <c r="U93" s="236">
        <v>200000000</v>
      </c>
      <c r="V93" s="237"/>
      <c r="W93" s="238"/>
      <c r="X93" s="238"/>
      <c r="Y93" s="61">
        <f t="shared" si="32"/>
        <v>200000000</v>
      </c>
    </row>
    <row r="94" spans="1:25" ht="24" customHeight="1">
      <c r="A94" s="50"/>
      <c r="B94" s="63"/>
      <c r="C94" s="51"/>
      <c r="D94" s="52"/>
      <c r="E94" s="64"/>
      <c r="F94" s="65"/>
      <c r="G94" s="253"/>
      <c r="H94" s="254"/>
      <c r="I94" s="67"/>
      <c r="J94" s="253"/>
      <c r="K94" s="65"/>
      <c r="L94" s="68">
        <f>SUM(L88:L93)</f>
        <v>76050000</v>
      </c>
      <c r="M94" s="68">
        <f t="shared" ref="M94:Y94" si="33">SUM(M88:M93)</f>
        <v>0</v>
      </c>
      <c r="N94" s="68">
        <f t="shared" si="33"/>
        <v>0</v>
      </c>
      <c r="O94" s="68">
        <f t="shared" si="33"/>
        <v>0</v>
      </c>
      <c r="P94" s="68">
        <f t="shared" si="33"/>
        <v>0</v>
      </c>
      <c r="Q94" s="68">
        <f t="shared" si="33"/>
        <v>0</v>
      </c>
      <c r="R94" s="68">
        <f t="shared" si="33"/>
        <v>0</v>
      </c>
      <c r="S94" s="68">
        <f t="shared" si="33"/>
        <v>0</v>
      </c>
      <c r="T94" s="68">
        <f t="shared" si="33"/>
        <v>0</v>
      </c>
      <c r="U94" s="68">
        <f t="shared" si="33"/>
        <v>2673200000</v>
      </c>
      <c r="V94" s="68">
        <f t="shared" si="33"/>
        <v>0</v>
      </c>
      <c r="W94" s="68">
        <f t="shared" si="33"/>
        <v>0</v>
      </c>
      <c r="X94" s="68">
        <f t="shared" si="33"/>
        <v>0</v>
      </c>
      <c r="Y94" s="68">
        <f t="shared" si="33"/>
        <v>2749250000</v>
      </c>
    </row>
    <row r="95" spans="1:25" ht="24" customHeight="1">
      <c r="A95" s="63"/>
      <c r="B95" s="70"/>
      <c r="C95" s="261"/>
      <c r="D95" s="70"/>
      <c r="E95" s="70"/>
      <c r="F95" s="71"/>
      <c r="G95" s="70"/>
      <c r="H95" s="71"/>
      <c r="I95" s="73"/>
      <c r="J95" s="70"/>
      <c r="K95" s="71"/>
      <c r="L95" s="74">
        <f t="shared" ref="L95:Y96" si="34">L94</f>
        <v>76050000</v>
      </c>
      <c r="M95" s="74">
        <f t="shared" si="34"/>
        <v>0</v>
      </c>
      <c r="N95" s="74">
        <f t="shared" si="34"/>
        <v>0</v>
      </c>
      <c r="O95" s="74">
        <f t="shared" si="34"/>
        <v>0</v>
      </c>
      <c r="P95" s="74">
        <f t="shared" si="34"/>
        <v>0</v>
      </c>
      <c r="Q95" s="74">
        <f t="shared" si="34"/>
        <v>0</v>
      </c>
      <c r="R95" s="74">
        <f t="shared" si="34"/>
        <v>0</v>
      </c>
      <c r="S95" s="74">
        <f t="shared" si="34"/>
        <v>0</v>
      </c>
      <c r="T95" s="74">
        <f t="shared" si="34"/>
        <v>0</v>
      </c>
      <c r="U95" s="74">
        <f t="shared" si="34"/>
        <v>2673200000</v>
      </c>
      <c r="V95" s="74">
        <f t="shared" si="34"/>
        <v>0</v>
      </c>
      <c r="W95" s="74">
        <f t="shared" si="34"/>
        <v>0</v>
      </c>
      <c r="X95" s="74">
        <f t="shared" si="34"/>
        <v>0</v>
      </c>
      <c r="Y95" s="74">
        <f t="shared" si="34"/>
        <v>2749250000</v>
      </c>
    </row>
    <row r="96" spans="1:25" ht="24" customHeight="1">
      <c r="A96" s="75"/>
      <c r="B96" s="75"/>
      <c r="C96" s="76"/>
      <c r="D96" s="75"/>
      <c r="E96" s="75"/>
      <c r="F96" s="76"/>
      <c r="G96" s="75"/>
      <c r="H96" s="76"/>
      <c r="I96" s="78"/>
      <c r="J96" s="75"/>
      <c r="K96" s="76"/>
      <c r="L96" s="79">
        <f t="shared" si="34"/>
        <v>76050000</v>
      </c>
      <c r="M96" s="79">
        <f t="shared" si="34"/>
        <v>0</v>
      </c>
      <c r="N96" s="79">
        <f t="shared" si="34"/>
        <v>0</v>
      </c>
      <c r="O96" s="79">
        <f t="shared" si="34"/>
        <v>0</v>
      </c>
      <c r="P96" s="79">
        <f t="shared" si="34"/>
        <v>0</v>
      </c>
      <c r="Q96" s="79">
        <f t="shared" si="34"/>
        <v>0</v>
      </c>
      <c r="R96" s="79">
        <f t="shared" si="34"/>
        <v>0</v>
      </c>
      <c r="S96" s="79">
        <f t="shared" si="34"/>
        <v>0</v>
      </c>
      <c r="T96" s="79">
        <f t="shared" si="34"/>
        <v>0</v>
      </c>
      <c r="U96" s="79">
        <f t="shared" si="34"/>
        <v>2673200000</v>
      </c>
      <c r="V96" s="79">
        <f t="shared" si="34"/>
        <v>0</v>
      </c>
      <c r="W96" s="79">
        <f t="shared" si="34"/>
        <v>0</v>
      </c>
      <c r="X96" s="79">
        <f t="shared" si="34"/>
        <v>0</v>
      </c>
      <c r="Y96" s="79">
        <f t="shared" si="34"/>
        <v>2749250000</v>
      </c>
    </row>
    <row r="97" spans="1:25" ht="24" customHeight="1">
      <c r="A97" s="80"/>
      <c r="B97" s="80"/>
      <c r="C97" s="81"/>
      <c r="D97" s="80"/>
      <c r="E97" s="80"/>
      <c r="F97" s="81"/>
      <c r="G97" s="80"/>
      <c r="H97" s="81"/>
      <c r="I97" s="83"/>
      <c r="J97" s="80"/>
      <c r="K97" s="81"/>
      <c r="L97" s="84">
        <f t="shared" ref="L97:Y97" si="35">L96+L83</f>
        <v>5457617165</v>
      </c>
      <c r="M97" s="84">
        <f t="shared" si="35"/>
        <v>0</v>
      </c>
      <c r="N97" s="84">
        <f t="shared" si="35"/>
        <v>1158478847</v>
      </c>
      <c r="O97" s="84">
        <f t="shared" si="35"/>
        <v>0</v>
      </c>
      <c r="P97" s="84">
        <f t="shared" si="35"/>
        <v>0</v>
      </c>
      <c r="Q97" s="84">
        <f t="shared" si="35"/>
        <v>0</v>
      </c>
      <c r="R97" s="84">
        <f t="shared" si="35"/>
        <v>0</v>
      </c>
      <c r="S97" s="84">
        <f t="shared" si="35"/>
        <v>0</v>
      </c>
      <c r="T97" s="84">
        <f t="shared" si="35"/>
        <v>0</v>
      </c>
      <c r="U97" s="84">
        <f t="shared" si="35"/>
        <v>2673200000</v>
      </c>
      <c r="V97" s="84">
        <f t="shared" si="35"/>
        <v>273393000</v>
      </c>
      <c r="W97" s="84">
        <f t="shared" si="35"/>
        <v>0</v>
      </c>
      <c r="X97" s="84">
        <f t="shared" si="35"/>
        <v>0</v>
      </c>
      <c r="Y97" s="84">
        <f t="shared" si="35"/>
        <v>9562689012</v>
      </c>
    </row>
    <row r="98" spans="1:25" ht="25.5" customHeight="1">
      <c r="A98" s="85"/>
      <c r="B98" s="86"/>
      <c r="C98" s="87"/>
      <c r="D98" s="146"/>
      <c r="E98" s="86"/>
      <c r="F98" s="87"/>
      <c r="G98" s="86"/>
      <c r="H98" s="87"/>
      <c r="I98" s="89"/>
      <c r="J98" s="86"/>
      <c r="K98" s="87"/>
      <c r="L98" s="90"/>
      <c r="M98" s="90"/>
      <c r="N98" s="90"/>
      <c r="O98" s="90"/>
      <c r="P98" s="90"/>
      <c r="Q98" s="90"/>
      <c r="R98" s="91"/>
      <c r="S98" s="91"/>
      <c r="T98" s="90"/>
      <c r="U98" s="90"/>
      <c r="V98" s="92"/>
      <c r="W98" s="90"/>
      <c r="X98" s="91"/>
      <c r="Y98" s="94"/>
    </row>
    <row r="99" spans="1:25" ht="20.25">
      <c r="A99" s="23" t="s">
        <v>185</v>
      </c>
      <c r="B99" s="24"/>
      <c r="C99" s="25"/>
      <c r="D99" s="192"/>
      <c r="E99" s="24"/>
      <c r="F99" s="25"/>
      <c r="G99" s="24"/>
      <c r="H99" s="24"/>
      <c r="I99" s="26"/>
      <c r="J99" s="24"/>
      <c r="K99" s="25"/>
      <c r="L99" s="95"/>
      <c r="M99" s="95"/>
      <c r="N99" s="95"/>
      <c r="O99" s="95"/>
      <c r="P99" s="95"/>
      <c r="Q99" s="95"/>
      <c r="R99" s="95"/>
      <c r="S99" s="95"/>
      <c r="T99" s="95"/>
      <c r="U99" s="95"/>
      <c r="V99" s="96"/>
      <c r="W99" s="95"/>
      <c r="X99" s="95"/>
      <c r="Y99" s="97" t="s">
        <v>186</v>
      </c>
    </row>
    <row r="100" spans="1:25">
      <c r="A100" s="11">
        <v>4</v>
      </c>
      <c r="B100" s="30" t="s">
        <v>187</v>
      </c>
      <c r="C100" s="31"/>
      <c r="D100" s="30"/>
      <c r="E100" s="30"/>
      <c r="F100" s="31"/>
      <c r="G100" s="30"/>
      <c r="H100" s="30"/>
      <c r="I100" s="32"/>
      <c r="J100" s="30"/>
      <c r="K100" s="30"/>
      <c r="L100" s="98"/>
      <c r="M100" s="98"/>
      <c r="N100" s="98"/>
      <c r="O100" s="98"/>
      <c r="P100" s="98"/>
      <c r="Q100" s="98"/>
      <c r="R100" s="98"/>
      <c r="S100" s="98"/>
      <c r="T100" s="98"/>
      <c r="U100" s="98"/>
      <c r="V100" s="99"/>
      <c r="W100" s="98"/>
      <c r="X100" s="98"/>
      <c r="Y100" s="100"/>
    </row>
    <row r="101" spans="1:25">
      <c r="A101" s="101"/>
      <c r="B101" s="149">
        <v>23</v>
      </c>
      <c r="C101" s="36" t="s">
        <v>188</v>
      </c>
      <c r="D101" s="38"/>
      <c r="E101" s="37"/>
      <c r="F101" s="38"/>
      <c r="G101" s="37"/>
      <c r="H101" s="37"/>
      <c r="I101" s="39"/>
      <c r="J101" s="37"/>
      <c r="K101" s="37"/>
      <c r="L101" s="102"/>
      <c r="M101" s="102"/>
      <c r="N101" s="102"/>
      <c r="O101" s="102"/>
      <c r="P101" s="102"/>
      <c r="Q101" s="102"/>
      <c r="R101" s="102"/>
      <c r="S101" s="102"/>
      <c r="T101" s="102"/>
      <c r="U101" s="102"/>
      <c r="V101" s="103"/>
      <c r="W101" s="102"/>
      <c r="X101" s="102"/>
      <c r="Y101" s="104"/>
    </row>
    <row r="102" spans="1:25">
      <c r="A102" s="50"/>
      <c r="B102" s="101"/>
      <c r="C102" s="200"/>
      <c r="D102" s="106"/>
      <c r="E102" s="107">
        <v>75</v>
      </c>
      <c r="F102" s="109" t="s">
        <v>189</v>
      </c>
      <c r="G102" s="109"/>
      <c r="H102" s="109"/>
      <c r="I102" s="110"/>
      <c r="J102" s="109"/>
      <c r="K102" s="109"/>
      <c r="L102" s="111"/>
      <c r="M102" s="111"/>
      <c r="N102" s="111"/>
      <c r="O102" s="111"/>
      <c r="P102" s="111"/>
      <c r="Q102" s="111"/>
      <c r="R102" s="111"/>
      <c r="S102" s="111"/>
      <c r="T102" s="111"/>
      <c r="U102" s="111"/>
      <c r="V102" s="112"/>
      <c r="W102" s="111"/>
      <c r="X102" s="111"/>
      <c r="Y102" s="113"/>
    </row>
    <row r="103" spans="1:25" ht="85.5" customHeight="1">
      <c r="A103" s="50"/>
      <c r="B103" s="50"/>
      <c r="C103" s="51">
        <v>10</v>
      </c>
      <c r="D103" s="202" t="s">
        <v>190</v>
      </c>
      <c r="E103" s="136"/>
      <c r="F103" s="54">
        <v>214</v>
      </c>
      <c r="G103" s="52" t="s">
        <v>191</v>
      </c>
      <c r="H103" s="1075" t="s">
        <v>192</v>
      </c>
      <c r="I103" s="1076" t="s">
        <v>193</v>
      </c>
      <c r="J103" s="1077" t="s">
        <v>194</v>
      </c>
      <c r="K103" s="262" t="s">
        <v>109</v>
      </c>
      <c r="L103" s="57"/>
      <c r="M103" s="263"/>
      <c r="N103" s="57"/>
      <c r="O103" s="57"/>
      <c r="P103" s="57"/>
      <c r="Q103" s="57"/>
      <c r="R103" s="57"/>
      <c r="S103" s="57"/>
      <c r="T103" s="57"/>
      <c r="U103" s="57"/>
      <c r="V103" s="59">
        <f>15000000</f>
        <v>15000000</v>
      </c>
      <c r="W103" s="60"/>
      <c r="X103" s="264"/>
      <c r="Y103" s="61">
        <f t="shared" ref="Y103:Y105" si="36">+L103+M103+N103+O103+P103+Q103+R103+S103+T103+U103+V103+W103+X103</f>
        <v>15000000</v>
      </c>
    </row>
    <row r="104" spans="1:25" ht="73.5" customHeight="1">
      <c r="A104" s="226"/>
      <c r="B104" s="226"/>
      <c r="C104" s="54">
        <v>32</v>
      </c>
      <c r="D104" s="202" t="s">
        <v>195</v>
      </c>
      <c r="E104" s="230"/>
      <c r="F104" s="234">
        <v>215</v>
      </c>
      <c r="G104" s="232" t="s">
        <v>196</v>
      </c>
      <c r="H104" s="1063"/>
      <c r="I104" s="1061"/>
      <c r="J104" s="1064"/>
      <c r="K104" s="265" t="s">
        <v>109</v>
      </c>
      <c r="L104" s="235"/>
      <c r="M104" s="266"/>
      <c r="N104" s="235"/>
      <c r="O104" s="235"/>
      <c r="P104" s="235"/>
      <c r="Q104" s="235"/>
      <c r="R104" s="235"/>
      <c r="S104" s="235"/>
      <c r="T104" s="235"/>
      <c r="U104" s="235"/>
      <c r="V104" s="250">
        <f>15000000</f>
        <v>15000000</v>
      </c>
      <c r="W104" s="235"/>
      <c r="X104" s="235"/>
      <c r="Y104" s="61">
        <f t="shared" si="36"/>
        <v>15000000</v>
      </c>
    </row>
    <row r="105" spans="1:25" ht="63" customHeight="1">
      <c r="A105" s="226"/>
      <c r="B105" s="226"/>
      <c r="C105" s="267">
        <v>12</v>
      </c>
      <c r="D105" s="268" t="s">
        <v>197</v>
      </c>
      <c r="E105" s="230"/>
      <c r="F105" s="234">
        <v>217</v>
      </c>
      <c r="G105" s="232" t="s">
        <v>198</v>
      </c>
      <c r="H105" s="1063"/>
      <c r="I105" s="1061"/>
      <c r="J105" s="1064"/>
      <c r="K105" s="269" t="s">
        <v>30</v>
      </c>
      <c r="L105" s="235"/>
      <c r="M105" s="266">
        <f>1600000000+160000000</f>
        <v>1760000000</v>
      </c>
      <c r="N105" s="235"/>
      <c r="O105" s="235"/>
      <c r="P105" s="235"/>
      <c r="Q105" s="235"/>
      <c r="R105" s="235"/>
      <c r="S105" s="235"/>
      <c r="T105" s="235"/>
      <c r="U105" s="235"/>
      <c r="V105" s="237"/>
      <c r="W105" s="238"/>
      <c r="X105" s="238"/>
      <c r="Y105" s="61">
        <f t="shared" si="36"/>
        <v>1760000000</v>
      </c>
    </row>
    <row r="106" spans="1:25" ht="15">
      <c r="A106" s="50"/>
      <c r="B106" s="50"/>
      <c r="C106" s="51"/>
      <c r="D106" s="204"/>
      <c r="E106" s="64"/>
      <c r="F106" s="65"/>
      <c r="G106" s="64"/>
      <c r="H106" s="66"/>
      <c r="I106" s="67"/>
      <c r="J106" s="64"/>
      <c r="K106" s="65"/>
      <c r="L106" s="68"/>
      <c r="M106" s="68">
        <f>SUM(M103:M105)</f>
        <v>1760000000</v>
      </c>
      <c r="N106" s="68"/>
      <c r="O106" s="68"/>
      <c r="P106" s="68"/>
      <c r="Q106" s="68"/>
      <c r="R106" s="68"/>
      <c r="S106" s="68"/>
      <c r="T106" s="68"/>
      <c r="U106" s="68"/>
      <c r="V106" s="68">
        <f>SUM(V103:V105)</f>
        <v>30000000</v>
      </c>
      <c r="W106" s="68"/>
      <c r="X106" s="68"/>
      <c r="Y106" s="68">
        <f>SUM(Y103:Y105)</f>
        <v>1790000000</v>
      </c>
    </row>
    <row r="107" spans="1:25" ht="15">
      <c r="A107" s="50"/>
      <c r="B107" s="50"/>
      <c r="C107" s="51"/>
      <c r="D107" s="204"/>
      <c r="E107" s="52"/>
      <c r="F107" s="242"/>
      <c r="G107" s="86"/>
      <c r="H107" s="270"/>
      <c r="I107" s="271"/>
      <c r="J107" s="146"/>
      <c r="K107" s="87"/>
      <c r="L107" s="90"/>
      <c r="M107" s="90"/>
      <c r="N107" s="90"/>
      <c r="O107" s="90"/>
      <c r="P107" s="90"/>
      <c r="Q107" s="90"/>
      <c r="R107" s="91"/>
      <c r="S107" s="91"/>
      <c r="T107" s="90"/>
      <c r="U107" s="90"/>
      <c r="V107" s="122"/>
      <c r="W107" s="90"/>
      <c r="X107" s="91"/>
      <c r="Y107" s="148"/>
    </row>
    <row r="108" spans="1:25" ht="15">
      <c r="A108" s="50"/>
      <c r="B108" s="50"/>
      <c r="C108" s="51"/>
      <c r="D108" s="204"/>
      <c r="E108" s="243">
        <v>76</v>
      </c>
      <c r="F108" s="272" t="s">
        <v>199</v>
      </c>
      <c r="G108" s="273"/>
      <c r="H108" s="273"/>
      <c r="I108" s="273"/>
      <c r="J108" s="273"/>
      <c r="K108" s="109"/>
      <c r="L108" s="111"/>
      <c r="M108" s="111"/>
      <c r="N108" s="111"/>
      <c r="O108" s="111"/>
      <c r="P108" s="111"/>
      <c r="Q108" s="111"/>
      <c r="R108" s="111"/>
      <c r="S108" s="111"/>
      <c r="T108" s="111"/>
      <c r="U108" s="111"/>
      <c r="V108" s="112"/>
      <c r="W108" s="111"/>
      <c r="X108" s="111"/>
      <c r="Y108" s="113"/>
    </row>
    <row r="109" spans="1:25" ht="57.75" customHeight="1">
      <c r="A109" s="226"/>
      <c r="B109" s="226"/>
      <c r="C109" s="51">
        <v>10</v>
      </c>
      <c r="D109" s="202" t="s">
        <v>190</v>
      </c>
      <c r="E109" s="230"/>
      <c r="F109" s="234">
        <v>220</v>
      </c>
      <c r="G109" s="232" t="s">
        <v>200</v>
      </c>
      <c r="H109" s="1063" t="s">
        <v>201</v>
      </c>
      <c r="I109" s="1061" t="s">
        <v>202</v>
      </c>
      <c r="J109" s="1064" t="s">
        <v>203</v>
      </c>
      <c r="K109" s="234" t="s">
        <v>109</v>
      </c>
      <c r="L109" s="235"/>
      <c r="M109" s="274"/>
      <c r="N109" s="235"/>
      <c r="O109" s="235"/>
      <c r="P109" s="235"/>
      <c r="Q109" s="235"/>
      <c r="R109" s="235"/>
      <c r="S109" s="235"/>
      <c r="T109" s="235"/>
      <c r="U109" s="235"/>
      <c r="V109" s="237">
        <f>80000000+140000000-30000000</f>
        <v>190000000</v>
      </c>
      <c r="W109" s="238"/>
      <c r="X109" s="238"/>
      <c r="Y109" s="61">
        <f t="shared" ref="Y109:Y110" si="37">+L109+M109+N109+O109+P109+Q109+R109+S109+T109+U109+V109+W109+X109</f>
        <v>190000000</v>
      </c>
    </row>
    <row r="110" spans="1:25" ht="60.75" customHeight="1">
      <c r="A110" s="226"/>
      <c r="B110" s="226"/>
      <c r="C110" s="275">
        <v>13</v>
      </c>
      <c r="D110" s="164" t="s">
        <v>204</v>
      </c>
      <c r="E110" s="276"/>
      <c r="F110" s="234">
        <v>222</v>
      </c>
      <c r="G110" s="232" t="s">
        <v>205</v>
      </c>
      <c r="H110" s="1078"/>
      <c r="I110" s="1079"/>
      <c r="J110" s="1080"/>
      <c r="K110" s="234" t="s">
        <v>30</v>
      </c>
      <c r="L110" s="235"/>
      <c r="M110" s="235"/>
      <c r="N110" s="235"/>
      <c r="O110" s="235"/>
      <c r="P110" s="235"/>
      <c r="Q110" s="235"/>
      <c r="R110" s="235"/>
      <c r="S110" s="235"/>
      <c r="T110" s="238"/>
      <c r="U110" s="238"/>
      <c r="V110" s="237">
        <f>10000000+10000000</f>
        <v>20000000</v>
      </c>
      <c r="W110" s="238"/>
      <c r="X110" s="238"/>
      <c r="Y110" s="61">
        <f t="shared" si="37"/>
        <v>20000000</v>
      </c>
    </row>
    <row r="111" spans="1:25" ht="21" customHeight="1">
      <c r="A111" s="50"/>
      <c r="B111" s="63"/>
      <c r="C111" s="51"/>
      <c r="D111" s="52"/>
      <c r="E111" s="277"/>
      <c r="F111" s="278"/>
      <c r="G111" s="109"/>
      <c r="H111" s="109"/>
      <c r="I111" s="110"/>
      <c r="J111" s="109"/>
      <c r="K111" s="109"/>
      <c r="L111" s="279"/>
      <c r="M111" s="279">
        <f>SUM(M109:M110)</f>
        <v>0</v>
      </c>
      <c r="N111" s="279">
        <f>SUM(N109:N110)</f>
        <v>0</v>
      </c>
      <c r="O111" s="279">
        <f>SUM(O109:O110)</f>
        <v>0</v>
      </c>
      <c r="P111" s="279"/>
      <c r="Q111" s="279"/>
      <c r="R111" s="279"/>
      <c r="S111" s="279"/>
      <c r="T111" s="279"/>
      <c r="U111" s="279"/>
      <c r="V111" s="280">
        <f>SUM(V109:V110)</f>
        <v>210000000</v>
      </c>
      <c r="W111" s="280">
        <f>SUM(W109:W110)</f>
        <v>0</v>
      </c>
      <c r="X111" s="280">
        <f>SUM(X109:X110)</f>
        <v>0</v>
      </c>
      <c r="Y111" s="281">
        <f>SUM(Y109:Y110)</f>
        <v>210000000</v>
      </c>
    </row>
    <row r="112" spans="1:25" ht="22.5" customHeight="1">
      <c r="A112" s="50"/>
      <c r="B112" s="70"/>
      <c r="C112" s="261"/>
      <c r="D112" s="70"/>
      <c r="E112" s="70"/>
      <c r="F112" s="71"/>
      <c r="G112" s="70"/>
      <c r="H112" s="72"/>
      <c r="I112" s="73"/>
      <c r="J112" s="70"/>
      <c r="K112" s="71"/>
      <c r="L112" s="74"/>
      <c r="M112" s="74">
        <f>M111+M106</f>
        <v>1760000000</v>
      </c>
      <c r="N112" s="74">
        <f>N111+N106</f>
        <v>0</v>
      </c>
      <c r="O112" s="74">
        <f>O111+O106</f>
        <v>0</v>
      </c>
      <c r="P112" s="74"/>
      <c r="Q112" s="74"/>
      <c r="R112" s="74"/>
      <c r="S112" s="74"/>
      <c r="T112" s="74"/>
      <c r="U112" s="74"/>
      <c r="V112" s="74">
        <f>V111+V106</f>
        <v>240000000</v>
      </c>
      <c r="W112" s="74">
        <f>W111+W106</f>
        <v>0</v>
      </c>
      <c r="X112" s="74">
        <f>X111+X106</f>
        <v>0</v>
      </c>
      <c r="Y112" s="74">
        <f>Y111+Y106</f>
        <v>2000000000</v>
      </c>
    </row>
    <row r="113" spans="1:25" ht="15">
      <c r="A113" s="50"/>
      <c r="B113" s="52"/>
      <c r="C113" s="87"/>
      <c r="D113" s="86"/>
      <c r="E113" s="86"/>
      <c r="F113" s="87"/>
      <c r="G113" s="86"/>
      <c r="H113" s="270"/>
      <c r="I113" s="271"/>
      <c r="J113" s="146"/>
      <c r="K113" s="87"/>
      <c r="L113" s="90"/>
      <c r="M113" s="90"/>
      <c r="N113" s="90"/>
      <c r="O113" s="90"/>
      <c r="P113" s="90"/>
      <c r="Q113" s="90"/>
      <c r="R113" s="91"/>
      <c r="S113" s="91"/>
      <c r="T113" s="90"/>
      <c r="U113" s="90"/>
      <c r="V113" s="122"/>
      <c r="W113" s="90"/>
      <c r="X113" s="91"/>
      <c r="Y113" s="148"/>
    </row>
    <row r="114" spans="1:25">
      <c r="A114" s="50"/>
      <c r="B114" s="149">
        <v>24</v>
      </c>
      <c r="C114" s="36" t="s">
        <v>206</v>
      </c>
      <c r="D114" s="37"/>
      <c r="E114" s="37"/>
      <c r="F114" s="38"/>
      <c r="G114" s="37"/>
      <c r="H114" s="37"/>
      <c r="I114" s="39"/>
      <c r="J114" s="37"/>
      <c r="K114" s="37"/>
      <c r="L114" s="102"/>
      <c r="M114" s="102"/>
      <c r="N114" s="102"/>
      <c r="O114" s="102"/>
      <c r="P114" s="102"/>
      <c r="Q114" s="102"/>
      <c r="R114" s="102"/>
      <c r="S114" s="102"/>
      <c r="T114" s="102"/>
      <c r="U114" s="102"/>
      <c r="V114" s="103"/>
      <c r="W114" s="102"/>
      <c r="X114" s="102"/>
      <c r="Y114" s="104"/>
    </row>
    <row r="115" spans="1:25" ht="15">
      <c r="A115" s="50"/>
      <c r="B115" s="136"/>
      <c r="C115" s="87"/>
      <c r="D115" s="282"/>
      <c r="E115" s="283">
        <v>78</v>
      </c>
      <c r="F115" s="47" t="s">
        <v>207</v>
      </c>
      <c r="G115" s="47"/>
      <c r="H115" s="47"/>
      <c r="I115" s="47"/>
      <c r="J115" s="47"/>
      <c r="K115" s="47"/>
      <c r="L115" s="284"/>
      <c r="M115" s="284"/>
      <c r="N115" s="284"/>
      <c r="O115" s="284"/>
      <c r="P115" s="284"/>
      <c r="Q115" s="284"/>
      <c r="R115" s="284"/>
      <c r="S115" s="284"/>
      <c r="T115" s="284"/>
      <c r="U115" s="284"/>
      <c r="V115" s="285"/>
      <c r="W115" s="284"/>
      <c r="X115" s="284"/>
      <c r="Y115" s="286"/>
    </row>
    <row r="116" spans="1:25" ht="69" customHeight="1">
      <c r="A116" s="226"/>
      <c r="B116" s="230"/>
      <c r="C116" s="160">
        <v>13</v>
      </c>
      <c r="D116" s="136" t="s">
        <v>208</v>
      </c>
      <c r="E116" s="246"/>
      <c r="F116" s="234">
        <v>226</v>
      </c>
      <c r="G116" s="232" t="s">
        <v>209</v>
      </c>
      <c r="H116" s="1075" t="s">
        <v>210</v>
      </c>
      <c r="I116" s="1076" t="s">
        <v>211</v>
      </c>
      <c r="J116" s="1077" t="s">
        <v>212</v>
      </c>
      <c r="K116" s="269" t="s">
        <v>30</v>
      </c>
      <c r="L116" s="235"/>
      <c r="M116" s="235"/>
      <c r="N116" s="235"/>
      <c r="O116" s="235"/>
      <c r="P116" s="235"/>
      <c r="Q116" s="235"/>
      <c r="R116" s="235"/>
      <c r="S116" s="235"/>
      <c r="T116" s="235"/>
      <c r="U116" s="235"/>
      <c r="V116" s="237">
        <v>200000000</v>
      </c>
      <c r="W116" s="238"/>
      <c r="X116" s="238"/>
      <c r="Y116" s="61">
        <f t="shared" ref="Y116:Y120" si="38">+L116+M116+N116+O116+P116+Q116+R116+S116+T116+U116+V116+W116+X116</f>
        <v>200000000</v>
      </c>
    </row>
    <row r="117" spans="1:25" ht="54.75" customHeight="1">
      <c r="A117" s="50"/>
      <c r="B117" s="53"/>
      <c r="C117" s="160">
        <v>13</v>
      </c>
      <c r="D117" s="136" t="s">
        <v>208</v>
      </c>
      <c r="E117" s="53"/>
      <c r="F117" s="54">
        <v>227</v>
      </c>
      <c r="G117" s="52" t="s">
        <v>213</v>
      </c>
      <c r="H117" s="1063"/>
      <c r="I117" s="1061"/>
      <c r="J117" s="1064"/>
      <c r="K117" s="262" t="s">
        <v>30</v>
      </c>
      <c r="L117" s="57"/>
      <c r="M117" s="57"/>
      <c r="N117" s="57"/>
      <c r="O117" s="57"/>
      <c r="P117" s="57"/>
      <c r="Q117" s="57"/>
      <c r="R117" s="57"/>
      <c r="S117" s="57"/>
      <c r="T117" s="57"/>
      <c r="U117" s="57"/>
      <c r="V117" s="59">
        <v>40000000</v>
      </c>
      <c r="W117" s="60"/>
      <c r="X117" s="60"/>
      <c r="Y117" s="61">
        <f t="shared" si="38"/>
        <v>40000000</v>
      </c>
    </row>
    <row r="118" spans="1:25" ht="59.25" customHeight="1">
      <c r="A118" s="50"/>
      <c r="B118" s="53"/>
      <c r="C118" s="160">
        <v>13</v>
      </c>
      <c r="D118" s="136" t="s">
        <v>208</v>
      </c>
      <c r="E118" s="53"/>
      <c r="F118" s="54">
        <v>228</v>
      </c>
      <c r="G118" s="52" t="s">
        <v>214</v>
      </c>
      <c r="H118" s="1063"/>
      <c r="I118" s="1061"/>
      <c r="J118" s="1064"/>
      <c r="K118" s="262" t="s">
        <v>30</v>
      </c>
      <c r="L118" s="57"/>
      <c r="M118" s="57"/>
      <c r="N118" s="57"/>
      <c r="O118" s="57"/>
      <c r="P118" s="57"/>
      <c r="Q118" s="57"/>
      <c r="R118" s="57"/>
      <c r="S118" s="57"/>
      <c r="T118" s="57"/>
      <c r="U118" s="57"/>
      <c r="V118" s="59">
        <v>40000000</v>
      </c>
      <c r="W118" s="60"/>
      <c r="X118" s="60"/>
      <c r="Y118" s="61">
        <f t="shared" si="38"/>
        <v>40000000</v>
      </c>
    </row>
    <row r="119" spans="1:25" ht="71.25" customHeight="1">
      <c r="A119" s="226"/>
      <c r="B119" s="230"/>
      <c r="C119" s="160">
        <v>13</v>
      </c>
      <c r="D119" s="136" t="s">
        <v>208</v>
      </c>
      <c r="E119" s="230"/>
      <c r="F119" s="234">
        <v>229</v>
      </c>
      <c r="G119" s="232" t="s">
        <v>215</v>
      </c>
      <c r="H119" s="1063"/>
      <c r="I119" s="1061"/>
      <c r="J119" s="1064"/>
      <c r="K119" s="269" t="s">
        <v>30</v>
      </c>
      <c r="L119" s="235"/>
      <c r="M119" s="235"/>
      <c r="N119" s="235"/>
      <c r="O119" s="235"/>
      <c r="P119" s="235"/>
      <c r="Q119" s="235"/>
      <c r="R119" s="235"/>
      <c r="S119" s="235"/>
      <c r="T119" s="235"/>
      <c r="U119" s="235"/>
      <c r="V119" s="237">
        <f>65000000</f>
        <v>65000000</v>
      </c>
      <c r="W119" s="238"/>
      <c r="X119" s="238"/>
      <c r="Y119" s="61">
        <f t="shared" si="38"/>
        <v>65000000</v>
      </c>
    </row>
    <row r="120" spans="1:25" ht="69.75" customHeight="1">
      <c r="A120" s="226"/>
      <c r="B120" s="230"/>
      <c r="C120" s="160">
        <v>13</v>
      </c>
      <c r="D120" s="136" t="s">
        <v>208</v>
      </c>
      <c r="E120" s="230"/>
      <c r="F120" s="234">
        <v>230</v>
      </c>
      <c r="G120" s="232" t="s">
        <v>216</v>
      </c>
      <c r="H120" s="1078"/>
      <c r="I120" s="1079"/>
      <c r="J120" s="1080"/>
      <c r="K120" s="269" t="s">
        <v>30</v>
      </c>
      <c r="L120" s="235"/>
      <c r="M120" s="235"/>
      <c r="N120" s="235"/>
      <c r="O120" s="235"/>
      <c r="P120" s="235"/>
      <c r="Q120" s="235"/>
      <c r="R120" s="235"/>
      <c r="S120" s="235"/>
      <c r="T120" s="235"/>
      <c r="U120" s="235"/>
      <c r="V120" s="237">
        <v>55000000</v>
      </c>
      <c r="W120" s="238"/>
      <c r="X120" s="238"/>
      <c r="Y120" s="61">
        <f t="shared" si="38"/>
        <v>55000000</v>
      </c>
    </row>
    <row r="121" spans="1:25" ht="30" customHeight="1">
      <c r="A121" s="50"/>
      <c r="B121" s="53"/>
      <c r="C121" s="51"/>
      <c r="D121" s="52"/>
      <c r="E121" s="64"/>
      <c r="F121" s="65"/>
      <c r="G121" s="64"/>
      <c r="H121" s="287"/>
      <c r="I121" s="67"/>
      <c r="J121" s="64"/>
      <c r="K121" s="65"/>
      <c r="L121" s="68"/>
      <c r="M121" s="68"/>
      <c r="N121" s="68"/>
      <c r="O121" s="68"/>
      <c r="P121" s="68"/>
      <c r="Q121" s="68"/>
      <c r="R121" s="68"/>
      <c r="S121" s="68"/>
      <c r="T121" s="68"/>
      <c r="U121" s="68"/>
      <c r="V121" s="68">
        <f t="shared" ref="V121" si="39">SUM(V116:V120)</f>
        <v>400000000</v>
      </c>
      <c r="W121" s="68"/>
      <c r="X121" s="68"/>
      <c r="Y121" s="68">
        <f t="shared" ref="Y121" si="40">SUM(Y116:Y120)</f>
        <v>400000000</v>
      </c>
    </row>
    <row r="122" spans="1:25" ht="15">
      <c r="A122" s="50"/>
      <c r="B122" s="53"/>
      <c r="C122" s="87"/>
      <c r="D122" s="86"/>
      <c r="E122" s="86"/>
      <c r="F122" s="87"/>
      <c r="G122" s="86"/>
      <c r="H122" s="288"/>
      <c r="I122" s="271"/>
      <c r="J122" s="146"/>
      <c r="K122" s="87"/>
      <c r="L122" s="90"/>
      <c r="M122" s="90"/>
      <c r="N122" s="90"/>
      <c r="O122" s="90"/>
      <c r="P122" s="90"/>
      <c r="Q122" s="90"/>
      <c r="R122" s="91"/>
      <c r="S122" s="91"/>
      <c r="T122" s="289"/>
      <c r="U122" s="289"/>
      <c r="V122" s="290"/>
      <c r="W122" s="90"/>
      <c r="X122" s="91"/>
      <c r="Y122" s="148"/>
    </row>
    <row r="123" spans="1:25" ht="21" customHeight="1">
      <c r="A123" s="50"/>
      <c r="B123" s="53"/>
      <c r="C123" s="51"/>
      <c r="D123" s="52"/>
      <c r="E123" s="243">
        <v>79</v>
      </c>
      <c r="F123" s="277" t="s">
        <v>217</v>
      </c>
      <c r="G123" s="109"/>
      <c r="H123" s="109"/>
      <c r="I123" s="109"/>
      <c r="J123" s="109"/>
      <c r="K123" s="109"/>
      <c r="L123" s="291"/>
      <c r="M123" s="291"/>
      <c r="N123" s="291"/>
      <c r="O123" s="291"/>
      <c r="P123" s="291"/>
      <c r="Q123" s="291"/>
      <c r="R123" s="291"/>
      <c r="S123" s="291"/>
      <c r="T123" s="291"/>
      <c r="U123" s="291"/>
      <c r="V123" s="292"/>
      <c r="W123" s="291"/>
      <c r="X123" s="291"/>
      <c r="Y123" s="113"/>
    </row>
    <row r="124" spans="1:25" ht="83.25" customHeight="1">
      <c r="A124" s="226"/>
      <c r="B124" s="230"/>
      <c r="C124" s="293">
        <v>13</v>
      </c>
      <c r="D124" s="246" t="s">
        <v>208</v>
      </c>
      <c r="E124" s="246"/>
      <c r="F124" s="234">
        <v>231</v>
      </c>
      <c r="G124" s="232" t="s">
        <v>218</v>
      </c>
      <c r="H124" s="1085" t="s">
        <v>210</v>
      </c>
      <c r="I124" s="1092" t="s">
        <v>219</v>
      </c>
      <c r="J124" s="1094" t="s">
        <v>220</v>
      </c>
      <c r="K124" s="234" t="s">
        <v>30</v>
      </c>
      <c r="L124" s="235"/>
      <c r="M124" s="235"/>
      <c r="N124" s="235"/>
      <c r="O124" s="235"/>
      <c r="P124" s="235"/>
      <c r="Q124" s="235"/>
      <c r="R124" s="235"/>
      <c r="S124" s="235"/>
      <c r="T124" s="235"/>
      <c r="U124" s="235"/>
      <c r="V124" s="237">
        <f>45000000+48000000</f>
        <v>93000000</v>
      </c>
      <c r="W124" s="238"/>
      <c r="X124" s="238"/>
      <c r="Y124" s="61">
        <f t="shared" ref="Y124:Y125" si="41">+L124+M124+N124+O124+P124+Q124+R124+S124+T124+U124+V124+W124+X124</f>
        <v>93000000</v>
      </c>
    </row>
    <row r="125" spans="1:25" ht="51.75" customHeight="1">
      <c r="A125" s="226"/>
      <c r="B125" s="230"/>
      <c r="C125" s="293">
        <v>13</v>
      </c>
      <c r="D125" s="246" t="s">
        <v>208</v>
      </c>
      <c r="E125" s="230"/>
      <c r="F125" s="234">
        <v>233</v>
      </c>
      <c r="G125" s="232" t="s">
        <v>221</v>
      </c>
      <c r="H125" s="1087"/>
      <c r="I125" s="1093"/>
      <c r="J125" s="1091"/>
      <c r="K125" s="234" t="s">
        <v>30</v>
      </c>
      <c r="L125" s="235"/>
      <c r="M125" s="235"/>
      <c r="N125" s="235"/>
      <c r="O125" s="235"/>
      <c r="P125" s="235"/>
      <c r="Q125" s="235"/>
      <c r="R125" s="235"/>
      <c r="S125" s="235"/>
      <c r="T125" s="235"/>
      <c r="U125" s="235"/>
      <c r="V125" s="237">
        <v>12000000</v>
      </c>
      <c r="W125" s="238"/>
      <c r="X125" s="238"/>
      <c r="Y125" s="61">
        <f t="shared" si="41"/>
        <v>12000000</v>
      </c>
    </row>
    <row r="126" spans="1:25" ht="21" customHeight="1">
      <c r="A126" s="50"/>
      <c r="B126" s="53"/>
      <c r="C126" s="51"/>
      <c r="D126" s="52"/>
      <c r="E126" s="64"/>
      <c r="F126" s="65"/>
      <c r="G126" s="64"/>
      <c r="H126" s="66"/>
      <c r="I126" s="67"/>
      <c r="J126" s="64"/>
      <c r="K126" s="65"/>
      <c r="L126" s="68"/>
      <c r="M126" s="68"/>
      <c r="N126" s="68"/>
      <c r="O126" s="68"/>
      <c r="P126" s="68"/>
      <c r="Q126" s="68"/>
      <c r="R126" s="68"/>
      <c r="S126" s="68"/>
      <c r="T126" s="68"/>
      <c r="U126" s="68"/>
      <c r="V126" s="68">
        <f>SUM(V124:V125)</f>
        <v>105000000</v>
      </c>
      <c r="W126" s="68">
        <f>SUM(W124:W125)</f>
        <v>0</v>
      </c>
      <c r="X126" s="68">
        <f>SUM(X124:X125)</f>
        <v>0</v>
      </c>
      <c r="Y126" s="68">
        <f>SUM(Y124:Y125)</f>
        <v>105000000</v>
      </c>
    </row>
    <row r="127" spans="1:25" ht="20.25" customHeight="1">
      <c r="A127" s="50"/>
      <c r="B127" s="70"/>
      <c r="C127" s="261"/>
      <c r="D127" s="70"/>
      <c r="E127" s="70"/>
      <c r="F127" s="71"/>
      <c r="G127" s="70"/>
      <c r="H127" s="72"/>
      <c r="I127" s="73"/>
      <c r="J127" s="70"/>
      <c r="K127" s="71"/>
      <c r="L127" s="74"/>
      <c r="M127" s="74">
        <f>M126+M121</f>
        <v>0</v>
      </c>
      <c r="N127" s="74"/>
      <c r="O127" s="74"/>
      <c r="P127" s="74"/>
      <c r="Q127" s="74"/>
      <c r="R127" s="74"/>
      <c r="S127" s="74"/>
      <c r="T127" s="74"/>
      <c r="U127" s="74"/>
      <c r="V127" s="74">
        <f>V126+V121</f>
        <v>505000000</v>
      </c>
      <c r="W127" s="74">
        <f t="shared" ref="W127:Y127" si="42">W126+W121</f>
        <v>0</v>
      </c>
      <c r="X127" s="74">
        <f t="shared" si="42"/>
        <v>0</v>
      </c>
      <c r="Y127" s="74">
        <f t="shared" si="42"/>
        <v>505000000</v>
      </c>
    </row>
    <row r="128" spans="1:25" ht="15">
      <c r="A128" s="50"/>
      <c r="B128" s="52"/>
      <c r="C128" s="87"/>
      <c r="D128" s="86"/>
      <c r="E128" s="86"/>
      <c r="F128" s="87"/>
      <c r="G128" s="86"/>
      <c r="H128" s="270"/>
      <c r="I128" s="271"/>
      <c r="J128" s="146"/>
      <c r="K128" s="87"/>
      <c r="L128" s="90"/>
      <c r="M128" s="90"/>
      <c r="N128" s="90"/>
      <c r="O128" s="90"/>
      <c r="P128" s="90"/>
      <c r="Q128" s="90"/>
      <c r="R128" s="91"/>
      <c r="S128" s="91"/>
      <c r="T128" s="289"/>
      <c r="U128" s="289"/>
      <c r="V128" s="290"/>
      <c r="W128" s="90"/>
      <c r="X128" s="91"/>
      <c r="Y128" s="94"/>
    </row>
    <row r="129" spans="1:27">
      <c r="A129" s="50"/>
      <c r="B129" s="149">
        <v>25</v>
      </c>
      <c r="C129" s="294" t="s">
        <v>222</v>
      </c>
      <c r="D129" s="295"/>
      <c r="E129" s="295"/>
      <c r="F129" s="296"/>
      <c r="G129" s="295"/>
      <c r="H129" s="295"/>
      <c r="I129" s="297"/>
      <c r="J129" s="295"/>
      <c r="K129" s="295"/>
      <c r="L129" s="298"/>
      <c r="M129" s="298"/>
      <c r="N129" s="298"/>
      <c r="O129" s="298"/>
      <c r="P129" s="298"/>
      <c r="Q129" s="298"/>
      <c r="R129" s="298"/>
      <c r="S129" s="298"/>
      <c r="T129" s="298"/>
      <c r="U129" s="298"/>
      <c r="V129" s="299"/>
      <c r="W129" s="298"/>
      <c r="X129" s="298"/>
      <c r="Y129" s="300"/>
    </row>
    <row r="130" spans="1:27" ht="15">
      <c r="A130" s="50"/>
      <c r="B130" s="101"/>
      <c r="C130" s="301"/>
      <c r="D130" s="302"/>
      <c r="E130" s="107">
        <v>81</v>
      </c>
      <c r="F130" s="108" t="s">
        <v>223</v>
      </c>
      <c r="G130" s="108"/>
      <c r="H130" s="108"/>
      <c r="I130" s="108"/>
      <c r="J130" s="108"/>
      <c r="K130" s="109"/>
      <c r="L130" s="111"/>
      <c r="M130" s="111"/>
      <c r="N130" s="111"/>
      <c r="O130" s="111"/>
      <c r="P130" s="111"/>
      <c r="Q130" s="111"/>
      <c r="R130" s="111"/>
      <c r="S130" s="111"/>
      <c r="T130" s="111"/>
      <c r="U130" s="111"/>
      <c r="V130" s="112"/>
      <c r="W130" s="111"/>
      <c r="X130" s="111"/>
      <c r="Y130" s="113"/>
    </row>
    <row r="131" spans="1:27" ht="50.25" customHeight="1">
      <c r="A131" s="50"/>
      <c r="B131" s="50"/>
      <c r="C131" s="303">
        <v>38</v>
      </c>
      <c r="D131" s="304" t="s">
        <v>79</v>
      </c>
      <c r="E131" s="136"/>
      <c r="F131" s="54">
        <v>236</v>
      </c>
      <c r="G131" s="52" t="s">
        <v>224</v>
      </c>
      <c r="H131" s="1075" t="s">
        <v>225</v>
      </c>
      <c r="I131" s="1076" t="s">
        <v>226</v>
      </c>
      <c r="J131" s="1077" t="s">
        <v>227</v>
      </c>
      <c r="K131" s="54" t="s">
        <v>109</v>
      </c>
      <c r="L131" s="57"/>
      <c r="M131" s="57"/>
      <c r="N131" s="57"/>
      <c r="O131" s="57"/>
      <c r="P131" s="57"/>
      <c r="Q131" s="57"/>
      <c r="R131" s="57"/>
      <c r="S131" s="57"/>
      <c r="T131" s="60"/>
      <c r="U131" s="60"/>
      <c r="V131" s="59">
        <f>100000000-86599999</f>
        <v>13400001</v>
      </c>
      <c r="W131" s="60"/>
      <c r="X131" s="60"/>
      <c r="Y131" s="61">
        <f t="shared" ref="Y131:Y134" si="43">+L131+M131+N131+O131+P131+Q131+R131+S131+T131+U131+V131+W131+X131</f>
        <v>13400001</v>
      </c>
      <c r="Z131" s="59"/>
      <c r="AA131" s="1084" t="s">
        <v>228</v>
      </c>
    </row>
    <row r="132" spans="1:27" ht="90.75" customHeight="1">
      <c r="A132" s="50"/>
      <c r="B132" s="50"/>
      <c r="C132" s="303">
        <v>38</v>
      </c>
      <c r="D132" s="304" t="s">
        <v>79</v>
      </c>
      <c r="E132" s="53"/>
      <c r="F132" s="54">
        <v>238</v>
      </c>
      <c r="G132" s="52" t="s">
        <v>229</v>
      </c>
      <c r="H132" s="1063"/>
      <c r="I132" s="1061"/>
      <c r="J132" s="1064"/>
      <c r="K132" s="54" t="s">
        <v>30</v>
      </c>
      <c r="L132" s="57"/>
      <c r="M132" s="57"/>
      <c r="N132" s="57"/>
      <c r="O132" s="57"/>
      <c r="P132" s="57"/>
      <c r="Q132" s="57"/>
      <c r="R132" s="57"/>
      <c r="S132" s="57"/>
      <c r="T132" s="60"/>
      <c r="U132" s="60"/>
      <c r="V132" s="59">
        <f>75000000+10000000-21266666-25000000-15000000-5000000-15000000</f>
        <v>3733334</v>
      </c>
      <c r="W132" s="60"/>
      <c r="X132" s="60"/>
      <c r="Y132" s="61">
        <f t="shared" si="43"/>
        <v>3733334</v>
      </c>
      <c r="Z132" s="59"/>
      <c r="AA132" s="1084"/>
    </row>
    <row r="133" spans="1:27" ht="41.25" customHeight="1">
      <c r="A133" s="50"/>
      <c r="B133" s="50"/>
      <c r="C133" s="303">
        <v>38</v>
      </c>
      <c r="D133" s="304" t="s">
        <v>79</v>
      </c>
      <c r="E133" s="53"/>
      <c r="F133" s="54">
        <v>239</v>
      </c>
      <c r="G133" s="52" t="s">
        <v>230</v>
      </c>
      <c r="H133" s="1063"/>
      <c r="I133" s="1061"/>
      <c r="J133" s="1064"/>
      <c r="K133" s="54" t="s">
        <v>109</v>
      </c>
      <c r="L133" s="57"/>
      <c r="M133" s="57"/>
      <c r="N133" s="57"/>
      <c r="O133" s="57"/>
      <c r="P133" s="57"/>
      <c r="Q133" s="57"/>
      <c r="R133" s="57"/>
      <c r="S133" s="57"/>
      <c r="T133" s="60"/>
      <c r="U133" s="60"/>
      <c r="V133" s="216">
        <f>100000000-20000000-74764001</f>
        <v>5235999</v>
      </c>
      <c r="W133" s="60"/>
      <c r="X133" s="60"/>
      <c r="Y133" s="61">
        <f t="shared" si="43"/>
        <v>5235999</v>
      </c>
      <c r="Z133" s="216"/>
      <c r="AA133" s="1084"/>
    </row>
    <row r="134" spans="1:27" ht="45.75" customHeight="1">
      <c r="A134" s="226"/>
      <c r="B134" s="226"/>
      <c r="C134" s="303">
        <v>38</v>
      </c>
      <c r="D134" s="304" t="s">
        <v>79</v>
      </c>
      <c r="E134" s="230"/>
      <c r="F134" s="234">
        <v>240</v>
      </c>
      <c r="G134" s="232" t="s">
        <v>231</v>
      </c>
      <c r="H134" s="1078"/>
      <c r="I134" s="1079"/>
      <c r="J134" s="1080"/>
      <c r="K134" s="234" t="s">
        <v>30</v>
      </c>
      <c r="L134" s="235"/>
      <c r="M134" s="235"/>
      <c r="N134" s="235"/>
      <c r="O134" s="235"/>
      <c r="P134" s="235"/>
      <c r="Q134" s="235"/>
      <c r="R134" s="235"/>
      <c r="S134" s="235"/>
      <c r="T134" s="238"/>
      <c r="U134" s="238"/>
      <c r="V134" s="237">
        <f>300000000-227948932</f>
        <v>72051068</v>
      </c>
      <c r="W134" s="238"/>
      <c r="X134" s="238"/>
      <c r="Y134" s="61">
        <f t="shared" si="43"/>
        <v>72051068</v>
      </c>
      <c r="Z134" s="237"/>
      <c r="AA134" s="1084"/>
    </row>
    <row r="135" spans="1:27" ht="15">
      <c r="A135" s="50"/>
      <c r="B135" s="50"/>
      <c r="C135" s="51"/>
      <c r="D135" s="52"/>
      <c r="E135" s="64"/>
      <c r="F135" s="65"/>
      <c r="G135" s="64"/>
      <c r="H135" s="66"/>
      <c r="I135" s="67"/>
      <c r="J135" s="64"/>
      <c r="K135" s="65"/>
      <c r="L135" s="68"/>
      <c r="M135" s="68"/>
      <c r="N135" s="68"/>
      <c r="O135" s="68"/>
      <c r="P135" s="68"/>
      <c r="Q135" s="68"/>
      <c r="R135" s="68"/>
      <c r="S135" s="68"/>
      <c r="T135" s="68"/>
      <c r="U135" s="68"/>
      <c r="V135" s="68">
        <f>SUM(V131:V134)</f>
        <v>94420402</v>
      </c>
      <c r="W135" s="68">
        <f>SUM(W131:W134)</f>
        <v>0</v>
      </c>
      <c r="X135" s="68">
        <f>SUM(X131:X134)</f>
        <v>0</v>
      </c>
      <c r="Y135" s="68">
        <f>SUM(Y131:Y134)</f>
        <v>94420402</v>
      </c>
      <c r="Z135" s="305"/>
    </row>
    <row r="136" spans="1:27" ht="15">
      <c r="A136" s="50"/>
      <c r="B136" s="50"/>
      <c r="C136" s="87"/>
      <c r="D136" s="86"/>
      <c r="E136" s="86"/>
      <c r="F136" s="87"/>
      <c r="G136" s="86"/>
      <c r="H136" s="270"/>
      <c r="I136" s="271"/>
      <c r="J136" s="146"/>
      <c r="K136" s="87"/>
      <c r="L136" s="90"/>
      <c r="M136" s="90"/>
      <c r="N136" s="90"/>
      <c r="O136" s="90"/>
      <c r="P136" s="90"/>
      <c r="Q136" s="90"/>
      <c r="R136" s="91"/>
      <c r="S136" s="91"/>
      <c r="T136" s="188"/>
      <c r="U136" s="188"/>
      <c r="V136" s="306"/>
      <c r="W136" s="90"/>
      <c r="X136" s="91"/>
      <c r="Y136" s="148"/>
    </row>
    <row r="137" spans="1:27">
      <c r="A137" s="50"/>
      <c r="B137" s="50"/>
      <c r="C137" s="51"/>
      <c r="D137" s="52"/>
      <c r="E137" s="107">
        <v>82</v>
      </c>
      <c r="F137" s="108" t="s">
        <v>232</v>
      </c>
      <c r="G137" s="109"/>
      <c r="H137" s="109"/>
      <c r="I137" s="110"/>
      <c r="J137" s="109"/>
      <c r="K137" s="109"/>
      <c r="L137" s="111"/>
      <c r="M137" s="111"/>
      <c r="N137" s="111"/>
      <c r="O137" s="111"/>
      <c r="P137" s="111"/>
      <c r="Q137" s="111"/>
      <c r="R137" s="111"/>
      <c r="S137" s="111"/>
      <c r="T137" s="111"/>
      <c r="U137" s="111"/>
      <c r="V137" s="112"/>
      <c r="W137" s="111"/>
      <c r="X137" s="111"/>
      <c r="Y137" s="113"/>
    </row>
    <row r="138" spans="1:27" ht="68.25" customHeight="1">
      <c r="A138" s="50"/>
      <c r="B138" s="50"/>
      <c r="C138" s="303">
        <v>38</v>
      </c>
      <c r="D138" s="304" t="s">
        <v>79</v>
      </c>
      <c r="E138" s="203"/>
      <c r="F138" s="54">
        <v>242</v>
      </c>
      <c r="G138" s="52" t="s">
        <v>233</v>
      </c>
      <c r="H138" s="218" t="s">
        <v>234</v>
      </c>
      <c r="I138" s="219" t="s">
        <v>235</v>
      </c>
      <c r="J138" s="204" t="s">
        <v>236</v>
      </c>
      <c r="K138" s="54" t="s">
        <v>30</v>
      </c>
      <c r="L138" s="57"/>
      <c r="M138" s="57"/>
      <c r="N138" s="57"/>
      <c r="O138" s="57"/>
      <c r="P138" s="57"/>
      <c r="Q138" s="57"/>
      <c r="R138" s="57"/>
      <c r="S138" s="57"/>
      <c r="T138" s="57"/>
      <c r="U138" s="57"/>
      <c r="V138" s="59">
        <f>55000000+30000000-80000000</f>
        <v>5000000</v>
      </c>
      <c r="W138" s="60"/>
      <c r="X138" s="60"/>
      <c r="Y138" s="61">
        <f t="shared" ref="Y138" si="44">+L138+M138+N138+O138+P138+Q138+R138+S138+T138+U138+V138+W138+X138</f>
        <v>5000000</v>
      </c>
      <c r="AA138" s="307" t="s">
        <v>237</v>
      </c>
    </row>
    <row r="139" spans="1:27" ht="15">
      <c r="A139" s="50"/>
      <c r="B139" s="63"/>
      <c r="C139" s="51"/>
      <c r="D139" s="52"/>
      <c r="E139" s="140"/>
      <c r="F139" s="141"/>
      <c r="G139" s="64"/>
      <c r="H139" s="66"/>
      <c r="I139" s="67"/>
      <c r="J139" s="64"/>
      <c r="K139" s="65"/>
      <c r="L139" s="68"/>
      <c r="M139" s="68">
        <f>SUM(M138:M138)</f>
        <v>0</v>
      </c>
      <c r="N139" s="68"/>
      <c r="O139" s="68"/>
      <c r="P139" s="68"/>
      <c r="Q139" s="68"/>
      <c r="R139" s="68"/>
      <c r="S139" s="68"/>
      <c r="T139" s="68"/>
      <c r="U139" s="68"/>
      <c r="V139" s="68">
        <f>SUM(V138:V138)</f>
        <v>5000000</v>
      </c>
      <c r="W139" s="68">
        <f>SUM(W138:W138)</f>
        <v>0</v>
      </c>
      <c r="X139" s="68">
        <f>SUM(X138:X138)</f>
        <v>0</v>
      </c>
      <c r="Y139" s="68">
        <f>SUM(Y138:Y138)</f>
        <v>5000000</v>
      </c>
    </row>
    <row r="140" spans="1:27" ht="21" customHeight="1">
      <c r="A140" s="63"/>
      <c r="B140" s="70"/>
      <c r="C140" s="261"/>
      <c r="D140" s="70"/>
      <c r="E140" s="144"/>
      <c r="F140" s="145"/>
      <c r="G140" s="70"/>
      <c r="H140" s="72"/>
      <c r="I140" s="73"/>
      <c r="J140" s="70"/>
      <c r="K140" s="71"/>
      <c r="L140" s="74"/>
      <c r="M140" s="74">
        <f>M139+M135</f>
        <v>0</v>
      </c>
      <c r="N140" s="74"/>
      <c r="O140" s="74"/>
      <c r="P140" s="74"/>
      <c r="Q140" s="74"/>
      <c r="R140" s="74"/>
      <c r="S140" s="74"/>
      <c r="T140" s="74"/>
      <c r="U140" s="74"/>
      <c r="V140" s="74">
        <f>V139+V135</f>
        <v>99420402</v>
      </c>
      <c r="W140" s="74">
        <f>W139+W135</f>
        <v>0</v>
      </c>
      <c r="X140" s="74">
        <f>X139+X135</f>
        <v>0</v>
      </c>
      <c r="Y140" s="74">
        <f>Y139+Y135</f>
        <v>99420402</v>
      </c>
    </row>
    <row r="141" spans="1:27" ht="27" customHeight="1">
      <c r="A141" s="75"/>
      <c r="B141" s="75"/>
      <c r="C141" s="76"/>
      <c r="D141" s="75"/>
      <c r="E141" s="308"/>
      <c r="F141" s="309"/>
      <c r="G141" s="75"/>
      <c r="H141" s="77"/>
      <c r="I141" s="78"/>
      <c r="J141" s="75"/>
      <c r="K141" s="76"/>
      <c r="L141" s="79"/>
      <c r="M141" s="79">
        <f>M140+M127+M112</f>
        <v>1760000000</v>
      </c>
      <c r="N141" s="79"/>
      <c r="O141" s="79"/>
      <c r="P141" s="79"/>
      <c r="Q141" s="79"/>
      <c r="R141" s="79"/>
      <c r="S141" s="79"/>
      <c r="T141" s="79"/>
      <c r="U141" s="79"/>
      <c r="V141" s="79">
        <f>V140+V127+V112</f>
        <v>844420402</v>
      </c>
      <c r="W141" s="79">
        <f>W140+W127+W112</f>
        <v>0</v>
      </c>
      <c r="X141" s="79">
        <f>X140+X127+X112</f>
        <v>0</v>
      </c>
      <c r="Y141" s="79">
        <f>Y140+Y127+Y112</f>
        <v>2604420402</v>
      </c>
    </row>
    <row r="142" spans="1:27" ht="15">
      <c r="A142" s="85"/>
      <c r="B142" s="86"/>
      <c r="C142" s="87"/>
      <c r="D142" s="86"/>
      <c r="E142" s="146"/>
      <c r="F142" s="147"/>
      <c r="G142" s="86"/>
      <c r="H142" s="270"/>
      <c r="I142" s="271"/>
      <c r="J142" s="146"/>
      <c r="K142" s="87"/>
      <c r="L142" s="90"/>
      <c r="M142" s="90"/>
      <c r="N142" s="90"/>
      <c r="O142" s="90"/>
      <c r="P142" s="90"/>
      <c r="Q142" s="90"/>
      <c r="R142" s="91"/>
      <c r="S142" s="91"/>
      <c r="T142" s="90"/>
      <c r="U142" s="90"/>
      <c r="V142" s="122"/>
      <c r="W142" s="90"/>
      <c r="X142" s="91"/>
      <c r="Y142" s="94"/>
    </row>
    <row r="143" spans="1:27">
      <c r="A143" s="310">
        <v>5</v>
      </c>
      <c r="B143" s="30" t="s">
        <v>76</v>
      </c>
      <c r="C143" s="31"/>
      <c r="D143" s="30"/>
      <c r="E143" s="30"/>
      <c r="F143" s="31"/>
      <c r="G143" s="30"/>
      <c r="H143" s="30"/>
      <c r="I143" s="32"/>
      <c r="J143" s="30"/>
      <c r="K143" s="30"/>
      <c r="L143" s="98"/>
      <c r="M143" s="98"/>
      <c r="N143" s="98"/>
      <c r="O143" s="98"/>
      <c r="P143" s="98"/>
      <c r="Q143" s="98"/>
      <c r="R143" s="98"/>
      <c r="S143" s="98"/>
      <c r="T143" s="98"/>
      <c r="U143" s="98"/>
      <c r="V143" s="99"/>
      <c r="W143" s="98"/>
      <c r="X143" s="98"/>
      <c r="Y143" s="100"/>
    </row>
    <row r="144" spans="1:27">
      <c r="A144" s="136"/>
      <c r="B144" s="149">
        <v>26</v>
      </c>
      <c r="C144" s="36" t="s">
        <v>89</v>
      </c>
      <c r="D144" s="37"/>
      <c r="E144" s="37"/>
      <c r="F144" s="38"/>
      <c r="G144" s="37"/>
      <c r="H144" s="37"/>
      <c r="I144" s="39"/>
      <c r="J144" s="37"/>
      <c r="K144" s="37"/>
      <c r="L144" s="102"/>
      <c r="M144" s="102"/>
      <c r="N144" s="102"/>
      <c r="O144" s="102"/>
      <c r="P144" s="102"/>
      <c r="Q144" s="102"/>
      <c r="R144" s="102"/>
      <c r="S144" s="102"/>
      <c r="T144" s="102"/>
      <c r="U144" s="102"/>
      <c r="V144" s="103"/>
      <c r="W144" s="102"/>
      <c r="X144" s="102"/>
      <c r="Y144" s="104"/>
    </row>
    <row r="145" spans="1:25" ht="15">
      <c r="A145" s="53"/>
      <c r="B145" s="136"/>
      <c r="C145" s="51"/>
      <c r="D145" s="52"/>
      <c r="E145" s="107">
        <v>84</v>
      </c>
      <c r="F145" s="109" t="s">
        <v>95</v>
      </c>
      <c r="G145" s="109"/>
      <c r="H145" s="109"/>
      <c r="I145" s="109"/>
      <c r="J145" s="109"/>
      <c r="K145" s="109"/>
      <c r="L145" s="111"/>
      <c r="M145" s="111"/>
      <c r="N145" s="111"/>
      <c r="O145" s="111"/>
      <c r="P145" s="111"/>
      <c r="Q145" s="111"/>
      <c r="R145" s="111"/>
      <c r="S145" s="111"/>
      <c r="T145" s="111"/>
      <c r="U145" s="111"/>
      <c r="V145" s="112"/>
      <c r="W145" s="111"/>
      <c r="X145" s="111"/>
      <c r="Y145" s="113"/>
    </row>
    <row r="146" spans="1:25" ht="64.5" customHeight="1">
      <c r="A146" s="311">
        <f>+A145</f>
        <v>0</v>
      </c>
      <c r="B146" s="230"/>
      <c r="C146" s="256">
        <v>37</v>
      </c>
      <c r="D146" s="232" t="s">
        <v>238</v>
      </c>
      <c r="E146" s="232"/>
      <c r="F146" s="234">
        <v>247</v>
      </c>
      <c r="G146" s="232" t="s">
        <v>239</v>
      </c>
      <c r="H146" s="312" t="s">
        <v>102</v>
      </c>
      <c r="I146" s="165" t="s">
        <v>240</v>
      </c>
      <c r="J146" s="232" t="s">
        <v>241</v>
      </c>
      <c r="K146" s="269" t="s">
        <v>30</v>
      </c>
      <c r="L146" s="235"/>
      <c r="M146" s="235"/>
      <c r="N146" s="235"/>
      <c r="O146" s="235"/>
      <c r="P146" s="235"/>
      <c r="Q146" s="235"/>
      <c r="R146" s="235"/>
      <c r="S146" s="235"/>
      <c r="T146" s="235"/>
      <c r="U146" s="235"/>
      <c r="V146" s="237">
        <f>50000000</f>
        <v>50000000</v>
      </c>
      <c r="W146" s="238"/>
      <c r="X146" s="238"/>
      <c r="Y146" s="61">
        <f t="shared" ref="Y146" si="45">+L146+M146+N146+O146+P146+Q146+R146+S146+T146+U146+V146+W146+X146</f>
        <v>50000000</v>
      </c>
    </row>
    <row r="147" spans="1:25" ht="18.75" customHeight="1">
      <c r="A147" s="53"/>
      <c r="B147" s="53"/>
      <c r="C147" s="160"/>
      <c r="D147" s="138"/>
      <c r="E147" s="140"/>
      <c r="F147" s="141"/>
      <c r="G147" s="140"/>
      <c r="H147" s="179"/>
      <c r="I147" s="180"/>
      <c r="J147" s="140"/>
      <c r="K147" s="141"/>
      <c r="L147" s="181"/>
      <c r="M147" s="181"/>
      <c r="N147" s="181"/>
      <c r="O147" s="181"/>
      <c r="P147" s="181"/>
      <c r="Q147" s="181"/>
      <c r="R147" s="181"/>
      <c r="S147" s="181"/>
      <c r="T147" s="181"/>
      <c r="U147" s="181"/>
      <c r="V147" s="181">
        <f t="shared" ref="V147:Y147" si="46">SUM(V146)</f>
        <v>50000000</v>
      </c>
      <c r="W147" s="181">
        <f t="shared" si="46"/>
        <v>0</v>
      </c>
      <c r="X147" s="181">
        <f t="shared" si="46"/>
        <v>0</v>
      </c>
      <c r="Y147" s="181">
        <f t="shared" si="46"/>
        <v>50000000</v>
      </c>
    </row>
    <row r="148" spans="1:25" ht="18.75" customHeight="1">
      <c r="A148" s="202"/>
      <c r="B148" s="70"/>
      <c r="C148" s="71"/>
      <c r="D148" s="70"/>
      <c r="E148" s="70"/>
      <c r="F148" s="71"/>
      <c r="G148" s="70"/>
      <c r="H148" s="72"/>
      <c r="I148" s="73"/>
      <c r="J148" s="70"/>
      <c r="K148" s="71"/>
      <c r="L148" s="74"/>
      <c r="M148" s="74"/>
      <c r="N148" s="74"/>
      <c r="O148" s="74"/>
      <c r="P148" s="74"/>
      <c r="Q148" s="74"/>
      <c r="R148" s="74"/>
      <c r="S148" s="74"/>
      <c r="T148" s="74"/>
      <c r="U148" s="74"/>
      <c r="V148" s="74">
        <f t="shared" ref="V148:Y148" si="47">V147</f>
        <v>50000000</v>
      </c>
      <c r="W148" s="74">
        <f t="shared" si="47"/>
        <v>0</v>
      </c>
      <c r="X148" s="74">
        <f t="shared" si="47"/>
        <v>0</v>
      </c>
      <c r="Y148" s="74">
        <f t="shared" si="47"/>
        <v>50000000</v>
      </c>
    </row>
    <row r="149" spans="1:25" ht="24.75" customHeight="1">
      <c r="A149" s="53"/>
      <c r="B149" s="204"/>
      <c r="C149" s="187"/>
      <c r="D149" s="313"/>
      <c r="E149" s="313"/>
      <c r="F149" s="187"/>
      <c r="G149" s="313"/>
      <c r="H149" s="314"/>
      <c r="I149" s="315"/>
      <c r="J149" s="313"/>
      <c r="K149" s="187"/>
      <c r="L149" s="289"/>
      <c r="M149" s="289"/>
      <c r="N149" s="289"/>
      <c r="O149" s="289"/>
      <c r="P149" s="289"/>
      <c r="Q149" s="289"/>
      <c r="R149" s="316"/>
      <c r="S149" s="316"/>
      <c r="T149" s="289"/>
      <c r="U149" s="289"/>
      <c r="V149" s="290"/>
      <c r="W149" s="289"/>
      <c r="X149" s="316"/>
      <c r="Y149" s="317"/>
    </row>
    <row r="150" spans="1:25" ht="31.5" customHeight="1">
      <c r="A150" s="53"/>
      <c r="B150" s="318">
        <v>27</v>
      </c>
      <c r="C150" s="37" t="s">
        <v>99</v>
      </c>
      <c r="D150" s="37"/>
      <c r="E150" s="37"/>
      <c r="F150" s="38"/>
      <c r="G150" s="37"/>
      <c r="H150" s="37"/>
      <c r="I150" s="39"/>
      <c r="J150" s="37"/>
      <c r="K150" s="37"/>
      <c r="L150" s="102"/>
      <c r="M150" s="102"/>
      <c r="N150" s="102"/>
      <c r="O150" s="102"/>
      <c r="P150" s="102"/>
      <c r="Q150" s="102"/>
      <c r="R150" s="102"/>
      <c r="S150" s="102"/>
      <c r="T150" s="102"/>
      <c r="U150" s="102"/>
      <c r="V150" s="103"/>
      <c r="W150" s="102"/>
      <c r="X150" s="102"/>
      <c r="Y150" s="104"/>
    </row>
    <row r="151" spans="1:25" ht="31.5" customHeight="1">
      <c r="A151" s="53"/>
      <c r="B151" s="136"/>
      <c r="C151" s="87"/>
      <c r="D151" s="137"/>
      <c r="E151" s="107">
        <v>85</v>
      </c>
      <c r="F151" s="109" t="s">
        <v>100</v>
      </c>
      <c r="G151" s="109"/>
      <c r="H151" s="109"/>
      <c r="I151" s="109"/>
      <c r="J151" s="109"/>
      <c r="K151" s="109"/>
      <c r="L151" s="111"/>
      <c r="M151" s="111"/>
      <c r="N151" s="111"/>
      <c r="O151" s="111"/>
      <c r="P151" s="111"/>
      <c r="Q151" s="111"/>
      <c r="R151" s="111"/>
      <c r="S151" s="111"/>
      <c r="T151" s="111"/>
      <c r="U151" s="111"/>
      <c r="V151" s="112"/>
      <c r="W151" s="111"/>
      <c r="X151" s="111"/>
      <c r="Y151" s="113"/>
    </row>
    <row r="152" spans="1:25" ht="56.25" customHeight="1">
      <c r="A152" s="230"/>
      <c r="B152" s="230"/>
      <c r="C152" s="234">
        <v>37</v>
      </c>
      <c r="D152" s="232" t="s">
        <v>238</v>
      </c>
      <c r="E152" s="230"/>
      <c r="F152" s="228">
        <v>250</v>
      </c>
      <c r="G152" s="232" t="s">
        <v>242</v>
      </c>
      <c r="H152" s="1085" t="s">
        <v>102</v>
      </c>
      <c r="I152" s="1088" t="s">
        <v>243</v>
      </c>
      <c r="J152" s="1090" t="s">
        <v>244</v>
      </c>
      <c r="K152" s="269" t="s">
        <v>30</v>
      </c>
      <c r="L152" s="235"/>
      <c r="M152" s="235"/>
      <c r="N152" s="235"/>
      <c r="O152" s="235"/>
      <c r="P152" s="235"/>
      <c r="Q152" s="235"/>
      <c r="R152" s="235"/>
      <c r="S152" s="235"/>
      <c r="T152" s="235"/>
      <c r="U152" s="235"/>
      <c r="V152" s="250">
        <f>200000000-10000000</f>
        <v>190000000</v>
      </c>
      <c r="W152" s="235"/>
      <c r="X152" s="235"/>
      <c r="Y152" s="61">
        <f t="shared" ref="Y152:Y155" si="48">+L152+M152+N152+O152+P152+Q152+R152+S152+T152+U152+V152+W152+X152</f>
        <v>190000000</v>
      </c>
    </row>
    <row r="153" spans="1:25" ht="59.25" customHeight="1">
      <c r="A153" s="230"/>
      <c r="B153" s="230"/>
      <c r="C153" s="234">
        <v>37</v>
      </c>
      <c r="D153" s="232" t="s">
        <v>238</v>
      </c>
      <c r="E153" s="230"/>
      <c r="F153" s="228">
        <v>251</v>
      </c>
      <c r="G153" s="232" t="s">
        <v>245</v>
      </c>
      <c r="H153" s="1086"/>
      <c r="I153" s="1088"/>
      <c r="J153" s="1090"/>
      <c r="K153" s="269" t="s">
        <v>30</v>
      </c>
      <c r="L153" s="235"/>
      <c r="M153" s="235"/>
      <c r="N153" s="235"/>
      <c r="O153" s="235"/>
      <c r="P153" s="235"/>
      <c r="Q153" s="235"/>
      <c r="R153" s="235"/>
      <c r="S153" s="235"/>
      <c r="T153" s="235"/>
      <c r="U153" s="235"/>
      <c r="V153" s="237">
        <f>50000000</f>
        <v>50000000</v>
      </c>
      <c r="W153" s="238"/>
      <c r="X153" s="238"/>
      <c r="Y153" s="61">
        <f t="shared" si="48"/>
        <v>50000000</v>
      </c>
    </row>
    <row r="154" spans="1:25" ht="63" customHeight="1">
      <c r="A154" s="230" t="s">
        <v>246</v>
      </c>
      <c r="B154" s="230"/>
      <c r="C154" s="234">
        <v>37</v>
      </c>
      <c r="D154" s="232" t="s">
        <v>238</v>
      </c>
      <c r="E154" s="276"/>
      <c r="F154" s="228">
        <v>253</v>
      </c>
      <c r="G154" s="232" t="s">
        <v>247</v>
      </c>
      <c r="H154" s="1086"/>
      <c r="I154" s="1088"/>
      <c r="J154" s="1090"/>
      <c r="K154" s="269" t="s">
        <v>109</v>
      </c>
      <c r="L154" s="235"/>
      <c r="M154" s="235"/>
      <c r="N154" s="235"/>
      <c r="O154" s="235"/>
      <c r="P154" s="235"/>
      <c r="Q154" s="235"/>
      <c r="R154" s="235"/>
      <c r="S154" s="235"/>
      <c r="T154" s="235"/>
      <c r="U154" s="235"/>
      <c r="V154" s="250">
        <f>36923000+10000000+50000000</f>
        <v>96923000</v>
      </c>
      <c r="W154" s="235"/>
      <c r="X154" s="235"/>
      <c r="Y154" s="61">
        <f t="shared" si="48"/>
        <v>96923000</v>
      </c>
    </row>
    <row r="155" spans="1:25" ht="94.5" customHeight="1">
      <c r="A155" s="230" t="s">
        <v>246</v>
      </c>
      <c r="B155" s="230"/>
      <c r="C155" s="234">
        <v>37</v>
      </c>
      <c r="D155" s="232" t="s">
        <v>238</v>
      </c>
      <c r="E155" s="276"/>
      <c r="F155" s="228">
        <v>254</v>
      </c>
      <c r="G155" s="312" t="s">
        <v>248</v>
      </c>
      <c r="H155" s="1087"/>
      <c r="I155" s="1089"/>
      <c r="J155" s="1091"/>
      <c r="K155" s="269" t="s">
        <v>30</v>
      </c>
      <c r="L155" s="235"/>
      <c r="M155" s="235"/>
      <c r="N155" s="235"/>
      <c r="O155" s="235"/>
      <c r="P155" s="235"/>
      <c r="Q155" s="235"/>
      <c r="R155" s="235"/>
      <c r="S155" s="235"/>
      <c r="T155" s="235"/>
      <c r="U155" s="235"/>
      <c r="V155" s="250">
        <f>100000000+30000000</f>
        <v>130000000</v>
      </c>
      <c r="W155" s="235"/>
      <c r="X155" s="235"/>
      <c r="Y155" s="61">
        <f t="shared" si="48"/>
        <v>130000000</v>
      </c>
    </row>
    <row r="156" spans="1:25" ht="19.5" customHeight="1">
      <c r="A156" s="53"/>
      <c r="B156" s="53"/>
      <c r="C156" s="51"/>
      <c r="D156" s="52"/>
      <c r="E156" s="140"/>
      <c r="F156" s="141"/>
      <c r="G156" s="319"/>
      <c r="H156" s="66"/>
      <c r="I156" s="67"/>
      <c r="J156" s="64"/>
      <c r="K156" s="65"/>
      <c r="L156" s="68"/>
      <c r="M156" s="68"/>
      <c r="N156" s="68"/>
      <c r="O156" s="68"/>
      <c r="P156" s="68"/>
      <c r="Q156" s="68"/>
      <c r="R156" s="68"/>
      <c r="S156" s="68"/>
      <c r="T156" s="68"/>
      <c r="U156" s="68"/>
      <c r="V156" s="68">
        <f>SUM(V152:V155)</f>
        <v>466923000</v>
      </c>
      <c r="W156" s="68">
        <f>SUM(W152:W155)</f>
        <v>0</v>
      </c>
      <c r="X156" s="68">
        <f>SUM(X152:X155)</f>
        <v>0</v>
      </c>
      <c r="Y156" s="68">
        <f>SUM(Y152:Y155)</f>
        <v>466923000</v>
      </c>
    </row>
    <row r="157" spans="1:25" ht="20.25" customHeight="1">
      <c r="A157" s="53"/>
      <c r="B157" s="53"/>
      <c r="C157" s="87"/>
      <c r="D157" s="86"/>
      <c r="E157" s="146"/>
      <c r="F157" s="147"/>
      <c r="G157" s="135"/>
      <c r="H157" s="88"/>
      <c r="I157" s="89"/>
      <c r="J157" s="86"/>
      <c r="K157" s="87"/>
      <c r="L157" s="90"/>
      <c r="M157" s="90"/>
      <c r="N157" s="90"/>
      <c r="O157" s="90"/>
      <c r="P157" s="90"/>
      <c r="Q157" s="90"/>
      <c r="R157" s="90"/>
      <c r="S157" s="90"/>
      <c r="T157" s="90"/>
      <c r="U157" s="90"/>
      <c r="V157" s="122"/>
      <c r="W157" s="90"/>
      <c r="X157" s="91"/>
      <c r="Y157" s="94"/>
    </row>
    <row r="158" spans="1:25" ht="22.5" customHeight="1">
      <c r="A158" s="53"/>
      <c r="B158" s="53"/>
      <c r="C158" s="51"/>
      <c r="D158" s="52"/>
      <c r="E158" s="107">
        <v>86</v>
      </c>
      <c r="F158" s="109" t="s">
        <v>249</v>
      </c>
      <c r="G158" s="109"/>
      <c r="H158" s="109"/>
      <c r="I158" s="109"/>
      <c r="J158" s="109"/>
      <c r="K158" s="109"/>
      <c r="L158" s="111"/>
      <c r="M158" s="111"/>
      <c r="N158" s="111"/>
      <c r="O158" s="111"/>
      <c r="P158" s="111"/>
      <c r="Q158" s="111"/>
      <c r="R158" s="111"/>
      <c r="S158" s="111"/>
      <c r="T158" s="111"/>
      <c r="U158" s="111"/>
      <c r="V158" s="112"/>
      <c r="W158" s="111"/>
      <c r="X158" s="111"/>
      <c r="Y158" s="113"/>
    </row>
    <row r="159" spans="1:25" ht="72" customHeight="1">
      <c r="A159" s="230"/>
      <c r="B159" s="230"/>
      <c r="C159" s="256">
        <v>37</v>
      </c>
      <c r="D159" s="232" t="s">
        <v>250</v>
      </c>
      <c r="E159" s="249"/>
      <c r="F159" s="234">
        <v>255</v>
      </c>
      <c r="G159" s="232" t="s">
        <v>251</v>
      </c>
      <c r="H159" s="312" t="s">
        <v>102</v>
      </c>
      <c r="I159" s="165" t="s">
        <v>252</v>
      </c>
      <c r="J159" s="232" t="s">
        <v>253</v>
      </c>
      <c r="K159" s="269" t="s">
        <v>30</v>
      </c>
      <c r="L159" s="235"/>
      <c r="M159" s="235"/>
      <c r="N159" s="235"/>
      <c r="O159" s="235"/>
      <c r="P159" s="235"/>
      <c r="Q159" s="235"/>
      <c r="R159" s="235"/>
      <c r="S159" s="235"/>
      <c r="T159" s="235"/>
      <c r="U159" s="235"/>
      <c r="V159" s="250">
        <f>100000000+70000000</f>
        <v>170000000</v>
      </c>
      <c r="W159" s="235"/>
      <c r="X159" s="235"/>
      <c r="Y159" s="61">
        <f t="shared" ref="Y159" si="49">+L159+M159+N159+O159+P159+Q159+R159+S159+T159+U159+V159+W159+X159</f>
        <v>170000000</v>
      </c>
    </row>
    <row r="160" spans="1:25" s="29" customFormat="1" ht="27" customHeight="1">
      <c r="A160" s="53"/>
      <c r="B160" s="53"/>
      <c r="C160" s="160"/>
      <c r="D160" s="138"/>
      <c r="E160" s="64"/>
      <c r="F160" s="65"/>
      <c r="G160" s="64"/>
      <c r="H160" s="66"/>
      <c r="I160" s="67"/>
      <c r="J160" s="64"/>
      <c r="K160" s="65"/>
      <c r="L160" s="68"/>
      <c r="M160" s="68">
        <f t="shared" ref="M160" si="50">SUM(M159:M159)</f>
        <v>0</v>
      </c>
      <c r="N160" s="68"/>
      <c r="O160" s="68"/>
      <c r="P160" s="68"/>
      <c r="Q160" s="68"/>
      <c r="R160" s="68"/>
      <c r="S160" s="68"/>
      <c r="T160" s="68"/>
      <c r="U160" s="68"/>
      <c r="V160" s="68">
        <f t="shared" ref="V160:Y160" si="51">SUM(V159:V159)</f>
        <v>170000000</v>
      </c>
      <c r="W160" s="68">
        <f t="shared" si="51"/>
        <v>0</v>
      </c>
      <c r="X160" s="68">
        <f t="shared" si="51"/>
        <v>0</v>
      </c>
      <c r="Y160" s="68">
        <f t="shared" si="51"/>
        <v>170000000</v>
      </c>
    </row>
    <row r="161" spans="1:25" s="29" customFormat="1" ht="26.25" customHeight="1">
      <c r="A161" s="320"/>
      <c r="B161" s="321"/>
      <c r="C161" s="131"/>
      <c r="D161" s="130"/>
      <c r="E161" s="70"/>
      <c r="F161" s="71"/>
      <c r="G161" s="70"/>
      <c r="H161" s="72"/>
      <c r="I161" s="73"/>
      <c r="J161" s="70"/>
      <c r="K161" s="71"/>
      <c r="L161" s="74"/>
      <c r="M161" s="74">
        <f t="shared" ref="M161" si="52">M160+M156</f>
        <v>0</v>
      </c>
      <c r="N161" s="74"/>
      <c r="O161" s="74"/>
      <c r="P161" s="74"/>
      <c r="Q161" s="74"/>
      <c r="R161" s="74"/>
      <c r="S161" s="74"/>
      <c r="T161" s="74"/>
      <c r="U161" s="74"/>
      <c r="V161" s="74">
        <f t="shared" ref="V161:Y161" si="53">V160+V156</f>
        <v>636923000</v>
      </c>
      <c r="W161" s="74">
        <f t="shared" si="53"/>
        <v>0</v>
      </c>
      <c r="X161" s="74">
        <f t="shared" si="53"/>
        <v>0</v>
      </c>
      <c r="Y161" s="74">
        <f t="shared" si="53"/>
        <v>636923000</v>
      </c>
    </row>
    <row r="162" spans="1:25" ht="26.25" customHeight="1">
      <c r="A162" s="75"/>
      <c r="B162" s="322"/>
      <c r="C162" s="323"/>
      <c r="D162" s="322"/>
      <c r="E162" s="75"/>
      <c r="F162" s="76"/>
      <c r="G162" s="75"/>
      <c r="H162" s="77"/>
      <c r="I162" s="78"/>
      <c r="J162" s="75"/>
      <c r="K162" s="76"/>
      <c r="L162" s="79"/>
      <c r="M162" s="79">
        <f>M161+M148</f>
        <v>0</v>
      </c>
      <c r="N162" s="79"/>
      <c r="O162" s="79"/>
      <c r="P162" s="79"/>
      <c r="Q162" s="79"/>
      <c r="R162" s="79"/>
      <c r="S162" s="79"/>
      <c r="T162" s="79"/>
      <c r="U162" s="79"/>
      <c r="V162" s="79">
        <f>V161+V148</f>
        <v>686923000</v>
      </c>
      <c r="W162" s="79">
        <f>W161+W148</f>
        <v>0</v>
      </c>
      <c r="X162" s="79">
        <f>X161+X148</f>
        <v>0</v>
      </c>
      <c r="Y162" s="79">
        <f>Y161+Y148</f>
        <v>686923000</v>
      </c>
    </row>
    <row r="163" spans="1:25" ht="26.25" customHeight="1">
      <c r="A163" s="80"/>
      <c r="B163" s="80"/>
      <c r="C163" s="81"/>
      <c r="D163" s="80"/>
      <c r="E163" s="80"/>
      <c r="F163" s="81"/>
      <c r="G163" s="80"/>
      <c r="H163" s="82"/>
      <c r="I163" s="83"/>
      <c r="J163" s="80"/>
      <c r="K163" s="81"/>
      <c r="L163" s="84"/>
      <c r="M163" s="84">
        <f>M162+M141</f>
        <v>1760000000</v>
      </c>
      <c r="N163" s="84"/>
      <c r="O163" s="84"/>
      <c r="P163" s="84"/>
      <c r="Q163" s="84"/>
      <c r="R163" s="84"/>
      <c r="S163" s="84"/>
      <c r="T163" s="84"/>
      <c r="U163" s="84"/>
      <c r="V163" s="84">
        <f>V162+V141</f>
        <v>1531343402</v>
      </c>
      <c r="W163" s="84">
        <f>W162+W141</f>
        <v>0</v>
      </c>
      <c r="X163" s="84">
        <f>X162+X141</f>
        <v>0</v>
      </c>
      <c r="Y163" s="84">
        <f>Y162+Y141</f>
        <v>3291343402</v>
      </c>
    </row>
    <row r="164" spans="1:25" ht="22.5" customHeight="1">
      <c r="A164" s="324"/>
      <c r="B164" s="146"/>
      <c r="C164" s="147"/>
      <c r="D164" s="146"/>
      <c r="E164" s="146"/>
      <c r="F164" s="147"/>
      <c r="G164" s="146"/>
      <c r="H164" s="270"/>
      <c r="I164" s="271"/>
      <c r="J164" s="146"/>
      <c r="K164" s="147"/>
      <c r="L164" s="325"/>
      <c r="M164" s="325"/>
      <c r="N164" s="325"/>
      <c r="O164" s="325"/>
      <c r="P164" s="325"/>
      <c r="Q164" s="325"/>
      <c r="R164" s="326"/>
      <c r="S164" s="326"/>
      <c r="T164" s="325"/>
      <c r="U164" s="325"/>
      <c r="V164" s="327"/>
      <c r="W164" s="325"/>
      <c r="X164" s="326"/>
      <c r="Y164" s="94"/>
    </row>
    <row r="165" spans="1:25" ht="20.25" customHeight="1">
      <c r="A165" s="191" t="s">
        <v>254</v>
      </c>
      <c r="B165" s="192"/>
      <c r="C165" s="193"/>
      <c r="D165" s="192"/>
      <c r="E165" s="192"/>
      <c r="F165" s="193"/>
      <c r="G165" s="192"/>
      <c r="H165" s="192"/>
      <c r="I165" s="194"/>
      <c r="J165" s="192"/>
      <c r="K165" s="193"/>
      <c r="L165" s="195"/>
      <c r="M165" s="195"/>
      <c r="N165" s="195"/>
      <c r="O165" s="195"/>
      <c r="P165" s="195"/>
      <c r="Q165" s="195"/>
      <c r="R165" s="195"/>
      <c r="S165" s="195"/>
      <c r="T165" s="195"/>
      <c r="U165" s="195"/>
      <c r="V165" s="196"/>
      <c r="W165" s="195"/>
      <c r="X165" s="195"/>
      <c r="Y165" s="197" t="s">
        <v>186</v>
      </c>
    </row>
    <row r="166" spans="1:25">
      <c r="A166" s="11">
        <v>3</v>
      </c>
      <c r="B166" s="30" t="s">
        <v>255</v>
      </c>
      <c r="C166" s="31"/>
      <c r="D166" s="30"/>
      <c r="E166" s="30"/>
      <c r="F166" s="31"/>
      <c r="G166" s="30"/>
      <c r="H166" s="30"/>
      <c r="I166" s="32"/>
      <c r="J166" s="30"/>
      <c r="K166" s="30"/>
      <c r="L166" s="98"/>
      <c r="M166" s="98"/>
      <c r="N166" s="98"/>
      <c r="O166" s="98"/>
      <c r="P166" s="98"/>
      <c r="Q166" s="98"/>
      <c r="R166" s="98"/>
      <c r="S166" s="98"/>
      <c r="T166" s="98"/>
      <c r="U166" s="98"/>
      <c r="V166" s="99"/>
      <c r="W166" s="98"/>
      <c r="X166" s="98"/>
      <c r="Y166" s="100"/>
    </row>
    <row r="167" spans="1:25">
      <c r="A167" s="101"/>
      <c r="B167" s="328">
        <v>9</v>
      </c>
      <c r="C167" s="36" t="s">
        <v>256</v>
      </c>
      <c r="D167" s="37"/>
      <c r="E167" s="37"/>
      <c r="F167" s="38"/>
      <c r="G167" s="37"/>
      <c r="H167" s="37"/>
      <c r="I167" s="39"/>
      <c r="J167" s="37"/>
      <c r="K167" s="37"/>
      <c r="L167" s="102"/>
      <c r="M167" s="102"/>
      <c r="N167" s="102"/>
      <c r="O167" s="102"/>
      <c r="P167" s="102"/>
      <c r="Q167" s="102"/>
      <c r="R167" s="102"/>
      <c r="S167" s="102"/>
      <c r="T167" s="102"/>
      <c r="U167" s="102"/>
      <c r="V167" s="103"/>
      <c r="W167" s="102"/>
      <c r="X167" s="102"/>
      <c r="Y167" s="104"/>
    </row>
    <row r="168" spans="1:25" ht="24" customHeight="1">
      <c r="A168" s="50"/>
      <c r="B168" s="101"/>
      <c r="C168" s="200"/>
      <c r="D168" s="106"/>
      <c r="E168" s="107">
        <v>29</v>
      </c>
      <c r="F168" s="109" t="s">
        <v>257</v>
      </c>
      <c r="G168" s="109"/>
      <c r="H168" s="109"/>
      <c r="I168" s="109"/>
      <c r="J168" s="109"/>
      <c r="K168" s="109"/>
      <c r="L168" s="111"/>
      <c r="M168" s="111"/>
      <c r="N168" s="111"/>
      <c r="O168" s="111"/>
      <c r="P168" s="111"/>
      <c r="Q168" s="111"/>
      <c r="R168" s="111"/>
      <c r="S168" s="111"/>
      <c r="T168" s="111"/>
      <c r="U168" s="111"/>
      <c r="V168" s="112"/>
      <c r="W168" s="111"/>
      <c r="X168" s="111"/>
      <c r="Y168" s="113"/>
    </row>
    <row r="169" spans="1:25" ht="83.25" customHeight="1">
      <c r="A169" s="50"/>
      <c r="B169" s="50"/>
      <c r="C169" s="251">
        <v>22</v>
      </c>
      <c r="D169" s="213" t="s">
        <v>158</v>
      </c>
      <c r="E169" s="53"/>
      <c r="F169" s="329">
        <v>114</v>
      </c>
      <c r="G169" s="204" t="s">
        <v>258</v>
      </c>
      <c r="H169" s="203" t="s">
        <v>259</v>
      </c>
      <c r="I169" s="115" t="s">
        <v>260</v>
      </c>
      <c r="J169" s="330" t="s">
        <v>261</v>
      </c>
      <c r="K169" s="203" t="s">
        <v>30</v>
      </c>
      <c r="L169" s="331">
        <v>189078900</v>
      </c>
      <c r="M169" s="206"/>
      <c r="N169" s="206"/>
      <c r="O169" s="206"/>
      <c r="P169" s="206"/>
      <c r="Q169" s="206"/>
      <c r="R169" s="206"/>
      <c r="S169" s="206"/>
      <c r="T169" s="206"/>
      <c r="U169" s="206"/>
      <c r="V169" s="332"/>
      <c r="W169" s="333"/>
      <c r="X169" s="333"/>
      <c r="Y169" s="61">
        <f t="shared" ref="Y169:Y172" si="54">+L169+M169+N169+O169+P169+Q169+R169+S169+T169+U169+V169+W169+X169</f>
        <v>189078900</v>
      </c>
    </row>
    <row r="170" spans="1:25" ht="88.5" customHeight="1">
      <c r="A170" s="50"/>
      <c r="B170" s="50"/>
      <c r="C170" s="251">
        <v>22</v>
      </c>
      <c r="D170" s="213" t="s">
        <v>158</v>
      </c>
      <c r="E170" s="53"/>
      <c r="F170" s="329">
        <v>114</v>
      </c>
      <c r="G170" s="204" t="s">
        <v>258</v>
      </c>
      <c r="H170" s="1095" t="s">
        <v>259</v>
      </c>
      <c r="I170" s="1061" t="s">
        <v>262</v>
      </c>
      <c r="J170" s="1077" t="s">
        <v>263</v>
      </c>
      <c r="K170" s="203" t="s">
        <v>30</v>
      </c>
      <c r="L170" s="334"/>
      <c r="M170" s="207"/>
      <c r="N170" s="207"/>
      <c r="O170" s="207"/>
      <c r="P170" s="207"/>
      <c r="Q170" s="207"/>
      <c r="R170" s="207"/>
      <c r="S170" s="207"/>
      <c r="T170" s="207"/>
      <c r="U170" s="207"/>
      <c r="V170" s="332">
        <f>1100000000+39136000+60000+66245000</f>
        <v>1205441000</v>
      </c>
      <c r="W170" s="335"/>
      <c r="X170" s="335"/>
      <c r="Y170" s="61">
        <f t="shared" si="54"/>
        <v>1205441000</v>
      </c>
    </row>
    <row r="171" spans="1:25" ht="55.5" customHeight="1">
      <c r="A171" s="50"/>
      <c r="B171" s="50"/>
      <c r="C171" s="251">
        <v>12</v>
      </c>
      <c r="D171" s="213" t="s">
        <v>264</v>
      </c>
      <c r="E171" s="53"/>
      <c r="F171" s="203">
        <v>115</v>
      </c>
      <c r="G171" s="52" t="s">
        <v>265</v>
      </c>
      <c r="H171" s="1060"/>
      <c r="I171" s="1061"/>
      <c r="J171" s="1064"/>
      <c r="K171" s="54" t="s">
        <v>109</v>
      </c>
      <c r="L171" s="168">
        <v>945394500</v>
      </c>
      <c r="M171" s="57"/>
      <c r="N171" s="57"/>
      <c r="O171" s="57"/>
      <c r="P171" s="57"/>
      <c r="Q171" s="57"/>
      <c r="R171" s="57"/>
      <c r="S171" s="57"/>
      <c r="T171" s="57"/>
      <c r="U171" s="57"/>
      <c r="V171" s="59"/>
      <c r="W171" s="60"/>
      <c r="X171" s="60"/>
      <c r="Y171" s="61">
        <f t="shared" si="54"/>
        <v>945394500</v>
      </c>
    </row>
    <row r="172" spans="1:25" ht="64.5" customHeight="1">
      <c r="A172" s="50"/>
      <c r="B172" s="50"/>
      <c r="C172" s="251">
        <v>12</v>
      </c>
      <c r="D172" s="213" t="s">
        <v>264</v>
      </c>
      <c r="E172" s="62"/>
      <c r="F172" s="203">
        <v>116</v>
      </c>
      <c r="G172" s="52" t="s">
        <v>266</v>
      </c>
      <c r="H172" s="1096"/>
      <c r="I172" s="1079"/>
      <c r="J172" s="1080"/>
      <c r="K172" s="54" t="s">
        <v>109</v>
      </c>
      <c r="L172" s="336">
        <v>189078900</v>
      </c>
      <c r="M172" s="57"/>
      <c r="N172" s="57"/>
      <c r="O172" s="57"/>
      <c r="P172" s="57"/>
      <c r="Q172" s="57"/>
      <c r="R172" s="57"/>
      <c r="S172" s="57"/>
      <c r="T172" s="57"/>
      <c r="U172" s="57"/>
      <c r="V172" s="59"/>
      <c r="W172" s="60"/>
      <c r="X172" s="60"/>
      <c r="Y172" s="61">
        <f t="shared" si="54"/>
        <v>189078900</v>
      </c>
    </row>
    <row r="173" spans="1:25" ht="15">
      <c r="A173" s="50"/>
      <c r="B173" s="50"/>
      <c r="C173" s="51"/>
      <c r="D173" s="337"/>
      <c r="E173" s="64"/>
      <c r="F173" s="65"/>
      <c r="G173" s="64"/>
      <c r="H173" s="65"/>
      <c r="I173" s="67"/>
      <c r="J173" s="64"/>
      <c r="K173" s="65"/>
      <c r="L173" s="68">
        <f t="shared" ref="L173:Y173" si="55">SUM(L169:L172)</f>
        <v>1323552300</v>
      </c>
      <c r="M173" s="68"/>
      <c r="N173" s="68"/>
      <c r="O173" s="68"/>
      <c r="P173" s="68"/>
      <c r="Q173" s="68"/>
      <c r="R173" s="68"/>
      <c r="S173" s="68"/>
      <c r="T173" s="68"/>
      <c r="U173" s="68"/>
      <c r="V173" s="68">
        <f t="shared" si="55"/>
        <v>1205441000</v>
      </c>
      <c r="W173" s="68">
        <f t="shared" si="55"/>
        <v>0</v>
      </c>
      <c r="X173" s="68">
        <f t="shared" si="55"/>
        <v>0</v>
      </c>
      <c r="Y173" s="68">
        <f t="shared" si="55"/>
        <v>2528993300</v>
      </c>
    </row>
    <row r="174" spans="1:25" ht="15">
      <c r="A174" s="50"/>
      <c r="B174" s="50"/>
      <c r="C174" s="187"/>
      <c r="D174" s="338"/>
      <c r="E174" s="86"/>
      <c r="F174" s="87"/>
      <c r="G174" s="86"/>
      <c r="H174" s="87"/>
      <c r="I174" s="89"/>
      <c r="J174" s="86"/>
      <c r="K174" s="87"/>
      <c r="L174" s="90"/>
      <c r="M174" s="90"/>
      <c r="N174" s="90"/>
      <c r="O174" s="90"/>
      <c r="P174" s="90"/>
      <c r="Q174" s="90"/>
      <c r="R174" s="90"/>
      <c r="S174" s="90"/>
      <c r="T174" s="90"/>
      <c r="U174" s="90"/>
      <c r="V174" s="122"/>
      <c r="W174" s="90"/>
      <c r="X174" s="91"/>
      <c r="Y174" s="94"/>
    </row>
    <row r="175" spans="1:25" ht="15">
      <c r="A175" s="50"/>
      <c r="B175" s="50"/>
      <c r="C175" s="339"/>
      <c r="D175" s="340"/>
      <c r="E175" s="107">
        <v>30</v>
      </c>
      <c r="F175" s="109" t="s">
        <v>267</v>
      </c>
      <c r="G175" s="109"/>
      <c r="H175" s="109"/>
      <c r="I175" s="109"/>
      <c r="J175" s="109"/>
      <c r="K175" s="109"/>
      <c r="L175" s="111"/>
      <c r="M175" s="111"/>
      <c r="N175" s="111"/>
      <c r="O175" s="111"/>
      <c r="P175" s="111"/>
      <c r="Q175" s="111"/>
      <c r="R175" s="111"/>
      <c r="S175" s="111"/>
      <c r="T175" s="111"/>
      <c r="U175" s="111"/>
      <c r="V175" s="112"/>
      <c r="W175" s="111"/>
      <c r="X175" s="111"/>
      <c r="Y175" s="113"/>
    </row>
    <row r="176" spans="1:25" ht="62.25" customHeight="1">
      <c r="A176" s="50"/>
      <c r="B176" s="50"/>
      <c r="C176" s="162">
        <v>5</v>
      </c>
      <c r="D176" s="86" t="s">
        <v>268</v>
      </c>
      <c r="E176" s="52"/>
      <c r="F176" s="54">
        <v>117</v>
      </c>
      <c r="G176" s="52" t="s">
        <v>269</v>
      </c>
      <c r="H176" s="341" t="s">
        <v>259</v>
      </c>
      <c r="I176" s="115" t="s">
        <v>270</v>
      </c>
      <c r="J176" s="52" t="s">
        <v>271</v>
      </c>
      <c r="K176" s="54" t="s">
        <v>109</v>
      </c>
      <c r="L176" s="57"/>
      <c r="M176" s="57"/>
      <c r="N176" s="57"/>
      <c r="O176" s="57"/>
      <c r="P176" s="57"/>
      <c r="Q176" s="57"/>
      <c r="R176" s="57"/>
      <c r="S176" s="57"/>
      <c r="T176" s="57"/>
      <c r="U176" s="57"/>
      <c r="V176" s="59">
        <v>80000000</v>
      </c>
      <c r="W176" s="60"/>
      <c r="X176" s="60"/>
      <c r="Y176" s="61">
        <f t="shared" ref="Y176" si="56">+L176+M176+N176+O176+P176+Q176+R176+S176+T176+U176+V176+W176+X176</f>
        <v>80000000</v>
      </c>
    </row>
    <row r="177" spans="1:25" ht="15">
      <c r="A177" s="50"/>
      <c r="B177" s="50"/>
      <c r="C177" s="51"/>
      <c r="D177" s="337"/>
      <c r="E177" s="64"/>
      <c r="F177" s="65"/>
      <c r="G177" s="64"/>
      <c r="H177" s="66"/>
      <c r="I177" s="67"/>
      <c r="J177" s="64"/>
      <c r="K177" s="65"/>
      <c r="L177" s="68"/>
      <c r="M177" s="68"/>
      <c r="N177" s="68"/>
      <c r="O177" s="68"/>
      <c r="P177" s="68"/>
      <c r="Q177" s="68"/>
      <c r="R177" s="68"/>
      <c r="S177" s="68"/>
      <c r="T177" s="68"/>
      <c r="U177" s="68"/>
      <c r="V177" s="68">
        <f t="shared" ref="V177:Y177" si="57">V176</f>
        <v>80000000</v>
      </c>
      <c r="W177" s="68">
        <f t="shared" si="57"/>
        <v>0</v>
      </c>
      <c r="X177" s="68">
        <f t="shared" si="57"/>
        <v>0</v>
      </c>
      <c r="Y177" s="68">
        <f t="shared" si="57"/>
        <v>80000000</v>
      </c>
    </row>
    <row r="178" spans="1:25" ht="15">
      <c r="A178" s="50"/>
      <c r="B178" s="50"/>
      <c r="C178" s="187"/>
      <c r="D178" s="338"/>
      <c r="E178" s="86"/>
      <c r="F178" s="87"/>
      <c r="G178" s="86"/>
      <c r="H178" s="88"/>
      <c r="I178" s="89"/>
      <c r="J178" s="86"/>
      <c r="K178" s="87"/>
      <c r="L178" s="90"/>
      <c r="M178" s="90"/>
      <c r="N178" s="90"/>
      <c r="O178" s="90"/>
      <c r="P178" s="90"/>
      <c r="Q178" s="90"/>
      <c r="R178" s="90"/>
      <c r="S178" s="90"/>
      <c r="T178" s="90"/>
      <c r="U178" s="90"/>
      <c r="V178" s="122"/>
      <c r="W178" s="90"/>
      <c r="X178" s="91"/>
      <c r="Y178" s="94"/>
    </row>
    <row r="179" spans="1:25" ht="15">
      <c r="A179" s="50"/>
      <c r="B179" s="50"/>
      <c r="C179" s="339"/>
      <c r="D179" s="340"/>
      <c r="E179" s="243">
        <v>31</v>
      </c>
      <c r="F179" s="277" t="s">
        <v>272</v>
      </c>
      <c r="G179" s="109"/>
      <c r="H179" s="109"/>
      <c r="I179" s="109"/>
      <c r="J179" s="109"/>
      <c r="K179" s="109"/>
      <c r="L179" s="111"/>
      <c r="M179" s="111"/>
      <c r="N179" s="111"/>
      <c r="O179" s="111"/>
      <c r="P179" s="111"/>
      <c r="Q179" s="111"/>
      <c r="R179" s="111"/>
      <c r="S179" s="111"/>
      <c r="T179" s="111"/>
      <c r="U179" s="111"/>
      <c r="V179" s="112"/>
      <c r="W179" s="111"/>
      <c r="X179" s="111"/>
      <c r="Y179" s="113"/>
    </row>
    <row r="180" spans="1:25" ht="84.75" customHeight="1">
      <c r="A180" s="50"/>
      <c r="B180" s="50"/>
      <c r="C180" s="339">
        <v>14</v>
      </c>
      <c r="D180" s="204" t="s">
        <v>273</v>
      </c>
      <c r="E180" s="52"/>
      <c r="F180" s="54">
        <v>118</v>
      </c>
      <c r="G180" s="52" t="s">
        <v>274</v>
      </c>
      <c r="H180" s="341" t="s">
        <v>259</v>
      </c>
      <c r="I180" s="115" t="s">
        <v>275</v>
      </c>
      <c r="J180" s="52" t="s">
        <v>276</v>
      </c>
      <c r="K180" s="54" t="s">
        <v>109</v>
      </c>
      <c r="L180" s="336">
        <v>189078900</v>
      </c>
      <c r="M180" s="57"/>
      <c r="N180" s="57"/>
      <c r="O180" s="57"/>
      <c r="P180" s="57"/>
      <c r="Q180" s="57"/>
      <c r="R180" s="57"/>
      <c r="S180" s="57"/>
      <c r="T180" s="57"/>
      <c r="U180" s="57"/>
      <c r="V180" s="59"/>
      <c r="W180" s="60"/>
      <c r="X180" s="60"/>
      <c r="Y180" s="61">
        <f t="shared" ref="Y180" si="58">+L180+M180+N180+O180+P180+Q180+R180+S180+T180+U180+V180+W180+X180</f>
        <v>189078900</v>
      </c>
    </row>
    <row r="181" spans="1:25" ht="15">
      <c r="A181" s="50"/>
      <c r="B181" s="63"/>
      <c r="C181" s="51"/>
      <c r="D181" s="337"/>
      <c r="E181" s="64"/>
      <c r="F181" s="65"/>
      <c r="G181" s="64"/>
      <c r="H181" s="66"/>
      <c r="I181" s="67"/>
      <c r="J181" s="64"/>
      <c r="K181" s="65"/>
      <c r="L181" s="68">
        <f t="shared" ref="L181" si="59">SUM(L180)</f>
        <v>189078900</v>
      </c>
      <c r="M181" s="68"/>
      <c r="N181" s="68"/>
      <c r="O181" s="68"/>
      <c r="P181" s="68"/>
      <c r="Q181" s="68"/>
      <c r="R181" s="68"/>
      <c r="S181" s="68"/>
      <c r="T181" s="68"/>
      <c r="U181" s="68"/>
      <c r="V181" s="68"/>
      <c r="W181" s="68"/>
      <c r="X181" s="68"/>
      <c r="Y181" s="68">
        <f t="shared" ref="Y181" si="60">SUM(Y180)</f>
        <v>189078900</v>
      </c>
    </row>
    <row r="182" spans="1:25" ht="15">
      <c r="A182" s="50"/>
      <c r="B182" s="142"/>
      <c r="C182" s="71"/>
      <c r="D182" s="342"/>
      <c r="E182" s="70"/>
      <c r="F182" s="71"/>
      <c r="G182" s="70"/>
      <c r="H182" s="72"/>
      <c r="I182" s="73"/>
      <c r="J182" s="70"/>
      <c r="K182" s="71"/>
      <c r="L182" s="74">
        <f t="shared" ref="L182" si="61">L181+L177+L173</f>
        <v>1512631200</v>
      </c>
      <c r="M182" s="74"/>
      <c r="N182" s="74"/>
      <c r="O182" s="74"/>
      <c r="P182" s="74"/>
      <c r="Q182" s="74"/>
      <c r="R182" s="74"/>
      <c r="S182" s="74"/>
      <c r="T182" s="74"/>
      <c r="U182" s="74"/>
      <c r="V182" s="74">
        <f t="shared" ref="V182:Y182" si="62">V181+V177+V173</f>
        <v>1285441000</v>
      </c>
      <c r="W182" s="74">
        <f t="shared" si="62"/>
        <v>0</v>
      </c>
      <c r="X182" s="74">
        <f t="shared" si="62"/>
        <v>0</v>
      </c>
      <c r="Y182" s="74">
        <f t="shared" si="62"/>
        <v>2798072200</v>
      </c>
    </row>
    <row r="183" spans="1:25" ht="15">
      <c r="A183" s="50"/>
      <c r="B183" s="86"/>
      <c r="C183" s="187"/>
      <c r="D183" s="338"/>
      <c r="E183" s="86"/>
      <c r="F183" s="87"/>
      <c r="G183" s="86"/>
      <c r="H183" s="88"/>
      <c r="I183" s="89"/>
      <c r="J183" s="86"/>
      <c r="K183" s="87"/>
      <c r="L183" s="90"/>
      <c r="M183" s="90"/>
      <c r="N183" s="90"/>
      <c r="O183" s="90"/>
      <c r="P183" s="90"/>
      <c r="Q183" s="90"/>
      <c r="R183" s="90"/>
      <c r="S183" s="90"/>
      <c r="T183" s="90"/>
      <c r="U183" s="90"/>
      <c r="V183" s="122"/>
      <c r="W183" s="90"/>
      <c r="X183" s="91"/>
      <c r="Y183" s="94"/>
    </row>
    <row r="184" spans="1:25">
      <c r="A184" s="50"/>
      <c r="B184" s="198">
        <v>10</v>
      </c>
      <c r="C184" s="36" t="s">
        <v>277</v>
      </c>
      <c r="D184" s="37"/>
      <c r="E184" s="37"/>
      <c r="F184" s="38"/>
      <c r="G184" s="37"/>
      <c r="H184" s="37"/>
      <c r="I184" s="39"/>
      <c r="J184" s="37"/>
      <c r="K184" s="37"/>
      <c r="L184" s="102"/>
      <c r="M184" s="102"/>
      <c r="N184" s="102"/>
      <c r="O184" s="102"/>
      <c r="P184" s="102"/>
      <c r="Q184" s="102"/>
      <c r="R184" s="102"/>
      <c r="S184" s="102"/>
      <c r="T184" s="102"/>
      <c r="U184" s="102"/>
      <c r="V184" s="103"/>
      <c r="W184" s="102"/>
      <c r="X184" s="102"/>
      <c r="Y184" s="104"/>
    </row>
    <row r="185" spans="1:25" ht="15">
      <c r="A185" s="50"/>
      <c r="B185" s="34"/>
      <c r="C185" s="343"/>
      <c r="D185" s="344"/>
      <c r="E185" s="345">
        <v>32</v>
      </c>
      <c r="F185" s="47" t="s">
        <v>278</v>
      </c>
      <c r="G185" s="47"/>
      <c r="H185" s="47"/>
      <c r="I185" s="47"/>
      <c r="J185" s="47"/>
      <c r="K185" s="47"/>
      <c r="L185" s="284"/>
      <c r="M185" s="284"/>
      <c r="N185" s="284"/>
      <c r="O185" s="284"/>
      <c r="P185" s="284"/>
      <c r="Q185" s="284"/>
      <c r="R185" s="284"/>
      <c r="S185" s="284"/>
      <c r="T185" s="284"/>
      <c r="U185" s="284"/>
      <c r="V185" s="285"/>
      <c r="W185" s="284"/>
      <c r="X185" s="284"/>
      <c r="Y185" s="286"/>
    </row>
    <row r="186" spans="1:25" ht="83.25" customHeight="1">
      <c r="A186" s="50"/>
      <c r="B186" s="41"/>
      <c r="C186" s="251">
        <v>6</v>
      </c>
      <c r="D186" s="164" t="s">
        <v>279</v>
      </c>
      <c r="E186" s="52"/>
      <c r="F186" s="54">
        <v>119</v>
      </c>
      <c r="G186" s="52" t="s">
        <v>280</v>
      </c>
      <c r="H186" s="341" t="s">
        <v>259</v>
      </c>
      <c r="I186" s="115" t="s">
        <v>281</v>
      </c>
      <c r="J186" s="52" t="s">
        <v>282</v>
      </c>
      <c r="K186" s="54" t="s">
        <v>109</v>
      </c>
      <c r="L186" s="57"/>
      <c r="M186" s="57"/>
      <c r="N186" s="57"/>
      <c r="O186" s="57"/>
      <c r="P186" s="57"/>
      <c r="Q186" s="57"/>
      <c r="R186" s="57"/>
      <c r="S186" s="57"/>
      <c r="T186" s="57"/>
      <c r="U186" s="57"/>
      <c r="V186" s="59">
        <v>150000000</v>
      </c>
      <c r="W186" s="60">
        <v>182000000</v>
      </c>
      <c r="X186" s="264"/>
      <c r="Y186" s="61">
        <f t="shared" ref="Y186" si="63">+L186+M186+N186+O186+P186+Q186+R186+S186+T186+U186+V186+W186+X186</f>
        <v>332000000</v>
      </c>
    </row>
    <row r="187" spans="1:25" s="29" customFormat="1" ht="20.25">
      <c r="A187" s="50"/>
      <c r="B187" s="41"/>
      <c r="C187" s="54"/>
      <c r="D187" s="337"/>
      <c r="E187" s="64"/>
      <c r="F187" s="65"/>
      <c r="G187" s="64"/>
      <c r="H187" s="66"/>
      <c r="I187" s="67"/>
      <c r="J187" s="64"/>
      <c r="K187" s="65"/>
      <c r="L187" s="68"/>
      <c r="M187" s="68"/>
      <c r="N187" s="68"/>
      <c r="O187" s="68"/>
      <c r="P187" s="68"/>
      <c r="Q187" s="68"/>
      <c r="R187" s="68"/>
      <c r="S187" s="68"/>
      <c r="T187" s="68"/>
      <c r="U187" s="68"/>
      <c r="V187" s="68">
        <f t="shared" ref="V187:Y187" si="64">SUM(V186)</f>
        <v>150000000</v>
      </c>
      <c r="W187" s="68">
        <f t="shared" si="64"/>
        <v>182000000</v>
      </c>
      <c r="X187" s="68">
        <f t="shared" si="64"/>
        <v>0</v>
      </c>
      <c r="Y187" s="68">
        <f t="shared" si="64"/>
        <v>332000000</v>
      </c>
    </row>
    <row r="188" spans="1:25" s="29" customFormat="1" ht="20.25">
      <c r="A188" s="50"/>
      <c r="B188" s="41"/>
      <c r="C188" s="187"/>
      <c r="D188" s="338"/>
      <c r="E188" s="86"/>
      <c r="F188" s="87"/>
      <c r="G188" s="86"/>
      <c r="H188" s="270"/>
      <c r="I188" s="271"/>
      <c r="J188" s="146"/>
      <c r="K188" s="87"/>
      <c r="L188" s="90"/>
      <c r="M188" s="90"/>
      <c r="N188" s="90"/>
      <c r="O188" s="90"/>
      <c r="P188" s="90"/>
      <c r="Q188" s="90"/>
      <c r="R188" s="90"/>
      <c r="S188" s="90"/>
      <c r="T188" s="90"/>
      <c r="U188" s="90"/>
      <c r="V188" s="122"/>
      <c r="W188" s="90"/>
      <c r="X188" s="91"/>
      <c r="Y188" s="190"/>
    </row>
    <row r="189" spans="1:25" s="29" customFormat="1" ht="20.25">
      <c r="A189" s="50"/>
      <c r="B189" s="41"/>
      <c r="C189" s="203"/>
      <c r="D189" s="340"/>
      <c r="E189" s="107">
        <v>33</v>
      </c>
      <c r="F189" s="109" t="s">
        <v>283</v>
      </c>
      <c r="G189" s="109"/>
      <c r="H189" s="109"/>
      <c r="I189" s="109"/>
      <c r="J189" s="109"/>
      <c r="K189" s="109"/>
      <c r="L189" s="111"/>
      <c r="M189" s="111"/>
      <c r="N189" s="111"/>
      <c r="O189" s="111"/>
      <c r="P189" s="111"/>
      <c r="Q189" s="111"/>
      <c r="R189" s="111"/>
      <c r="S189" s="111"/>
      <c r="T189" s="111"/>
      <c r="U189" s="111"/>
      <c r="V189" s="112"/>
      <c r="W189" s="111"/>
      <c r="X189" s="111"/>
      <c r="Y189" s="113"/>
    </row>
    <row r="190" spans="1:25" ht="56.25" customHeight="1">
      <c r="A190" s="50"/>
      <c r="B190" s="41"/>
      <c r="C190" s="346">
        <v>5</v>
      </c>
      <c r="D190" s="347" t="s">
        <v>268</v>
      </c>
      <c r="E190" s="136"/>
      <c r="F190" s="54">
        <v>120</v>
      </c>
      <c r="G190" s="52" t="s">
        <v>284</v>
      </c>
      <c r="H190" s="1095" t="s">
        <v>259</v>
      </c>
      <c r="I190" s="1076" t="s">
        <v>285</v>
      </c>
      <c r="J190" s="1077" t="s">
        <v>286</v>
      </c>
      <c r="K190" s="54" t="s">
        <v>109</v>
      </c>
      <c r="L190" s="57"/>
      <c r="M190" s="57"/>
      <c r="N190" s="57"/>
      <c r="O190" s="57"/>
      <c r="P190" s="57"/>
      <c r="Q190" s="57"/>
      <c r="R190" s="57"/>
      <c r="S190" s="57"/>
      <c r="T190" s="57"/>
      <c r="U190" s="57"/>
      <c r="V190" s="59">
        <v>40000000</v>
      </c>
      <c r="W190" s="60"/>
      <c r="X190" s="60"/>
      <c r="Y190" s="61">
        <f t="shared" ref="Y190:Y191" si="65">+L190+M190+N190+O190+P190+Q190+R190+S190+T190+U190+V190+W190+X190</f>
        <v>40000000</v>
      </c>
    </row>
    <row r="191" spans="1:25" ht="85.5">
      <c r="A191" s="50"/>
      <c r="B191" s="41"/>
      <c r="C191" s="346">
        <v>5</v>
      </c>
      <c r="D191" s="347" t="s">
        <v>268</v>
      </c>
      <c r="E191" s="62"/>
      <c r="F191" s="54">
        <v>121</v>
      </c>
      <c r="G191" s="52" t="s">
        <v>287</v>
      </c>
      <c r="H191" s="1096"/>
      <c r="I191" s="1079"/>
      <c r="J191" s="1080"/>
      <c r="K191" s="54" t="s">
        <v>109</v>
      </c>
      <c r="L191" s="57"/>
      <c r="M191" s="57"/>
      <c r="N191" s="57"/>
      <c r="O191" s="57"/>
      <c r="P191" s="57"/>
      <c r="Q191" s="57"/>
      <c r="R191" s="57"/>
      <c r="S191" s="57"/>
      <c r="T191" s="57"/>
      <c r="U191" s="57"/>
      <c r="V191" s="59">
        <v>40000000</v>
      </c>
      <c r="W191" s="60"/>
      <c r="X191" s="60"/>
      <c r="Y191" s="61">
        <f t="shared" si="65"/>
        <v>40000000</v>
      </c>
    </row>
    <row r="192" spans="1:25" ht="15">
      <c r="A192" s="50"/>
      <c r="B192" s="69"/>
      <c r="C192" s="54"/>
      <c r="D192" s="337"/>
      <c r="E192" s="64"/>
      <c r="F192" s="65"/>
      <c r="G192" s="64"/>
      <c r="H192" s="65"/>
      <c r="I192" s="67"/>
      <c r="J192" s="64"/>
      <c r="K192" s="65"/>
      <c r="L192" s="68">
        <f t="shared" ref="L192" si="66">SUM(L190:L191)</f>
        <v>0</v>
      </c>
      <c r="M192" s="68">
        <f t="shared" ref="M192" si="67">SUM(M190:M191)</f>
        <v>0</v>
      </c>
      <c r="N192" s="68"/>
      <c r="O192" s="68"/>
      <c r="P192" s="68"/>
      <c r="Q192" s="68"/>
      <c r="R192" s="68"/>
      <c r="S192" s="68"/>
      <c r="T192" s="68"/>
      <c r="U192" s="68"/>
      <c r="V192" s="68">
        <f t="shared" ref="V192:Y192" si="68">SUM(V190:V191)</f>
        <v>80000000</v>
      </c>
      <c r="W192" s="68">
        <f t="shared" si="68"/>
        <v>0</v>
      </c>
      <c r="X192" s="68">
        <f t="shared" si="68"/>
        <v>0</v>
      </c>
      <c r="Y192" s="68">
        <f t="shared" si="68"/>
        <v>80000000</v>
      </c>
    </row>
    <row r="193" spans="1:25" ht="17.25" customHeight="1">
      <c r="A193" s="63"/>
      <c r="B193" s="142"/>
      <c r="C193" s="71"/>
      <c r="D193" s="342"/>
      <c r="E193" s="70"/>
      <c r="F193" s="71"/>
      <c r="G193" s="70"/>
      <c r="H193" s="71"/>
      <c r="I193" s="73"/>
      <c r="J193" s="70"/>
      <c r="K193" s="71"/>
      <c r="L193" s="74">
        <f t="shared" ref="L193:M193" si="69">L192+L187</f>
        <v>0</v>
      </c>
      <c r="M193" s="74">
        <f t="shared" si="69"/>
        <v>0</v>
      </c>
      <c r="N193" s="74"/>
      <c r="O193" s="74"/>
      <c r="P193" s="74"/>
      <c r="Q193" s="74"/>
      <c r="R193" s="74"/>
      <c r="S193" s="74"/>
      <c r="T193" s="74"/>
      <c r="U193" s="74"/>
      <c r="V193" s="74">
        <f t="shared" ref="V193:Y193" si="70">V192+V187</f>
        <v>230000000</v>
      </c>
      <c r="W193" s="74">
        <f t="shared" si="70"/>
        <v>182000000</v>
      </c>
      <c r="X193" s="74">
        <f t="shared" si="70"/>
        <v>0</v>
      </c>
      <c r="Y193" s="74">
        <f t="shared" si="70"/>
        <v>412000000</v>
      </c>
    </row>
    <row r="194" spans="1:25" ht="20.25" customHeight="1">
      <c r="A194" s="75"/>
      <c r="B194" s="75"/>
      <c r="C194" s="76"/>
      <c r="D194" s="348"/>
      <c r="E194" s="75"/>
      <c r="F194" s="76"/>
      <c r="G194" s="75"/>
      <c r="H194" s="76"/>
      <c r="I194" s="78"/>
      <c r="J194" s="75"/>
      <c r="K194" s="76"/>
      <c r="L194" s="79">
        <f t="shared" ref="L194:M194" si="71">L193+L182</f>
        <v>1512631200</v>
      </c>
      <c r="M194" s="79">
        <f t="shared" si="71"/>
        <v>0</v>
      </c>
      <c r="N194" s="79"/>
      <c r="O194" s="79"/>
      <c r="P194" s="79"/>
      <c r="Q194" s="79"/>
      <c r="R194" s="79"/>
      <c r="S194" s="79"/>
      <c r="T194" s="79"/>
      <c r="U194" s="79"/>
      <c r="V194" s="79">
        <f t="shared" ref="V194:Y194" si="72">V193+V182</f>
        <v>1515441000</v>
      </c>
      <c r="W194" s="79">
        <f t="shared" si="72"/>
        <v>182000000</v>
      </c>
      <c r="X194" s="79">
        <f t="shared" si="72"/>
        <v>0</v>
      </c>
      <c r="Y194" s="79">
        <f t="shared" si="72"/>
        <v>3210072200</v>
      </c>
    </row>
    <row r="195" spans="1:25" ht="26.25" customHeight="1">
      <c r="A195" s="80"/>
      <c r="B195" s="80"/>
      <c r="C195" s="81"/>
      <c r="D195" s="349"/>
      <c r="E195" s="80"/>
      <c r="F195" s="81"/>
      <c r="G195" s="80"/>
      <c r="H195" s="81"/>
      <c r="I195" s="83"/>
      <c r="J195" s="80"/>
      <c r="K195" s="81"/>
      <c r="L195" s="84">
        <f t="shared" ref="L195:M195" si="73">L194</f>
        <v>1512631200</v>
      </c>
      <c r="M195" s="84">
        <f t="shared" si="73"/>
        <v>0</v>
      </c>
      <c r="N195" s="84"/>
      <c r="O195" s="84"/>
      <c r="P195" s="84"/>
      <c r="Q195" s="84"/>
      <c r="R195" s="84"/>
      <c r="S195" s="84"/>
      <c r="T195" s="84"/>
      <c r="U195" s="84"/>
      <c r="V195" s="84">
        <f t="shared" ref="V195:Y195" si="74">V194</f>
        <v>1515441000</v>
      </c>
      <c r="W195" s="84">
        <f t="shared" si="74"/>
        <v>182000000</v>
      </c>
      <c r="X195" s="84">
        <f t="shared" si="74"/>
        <v>0</v>
      </c>
      <c r="Y195" s="84">
        <f t="shared" si="74"/>
        <v>3210072200</v>
      </c>
    </row>
    <row r="196" spans="1:25" ht="35.25" customHeight="1">
      <c r="A196" s="85"/>
      <c r="B196" s="86"/>
      <c r="C196" s="87"/>
      <c r="D196" s="350"/>
      <c r="E196" s="86"/>
      <c r="F196" s="87"/>
      <c r="G196" s="86"/>
      <c r="H196" s="87"/>
      <c r="I196" s="89"/>
      <c r="J196" s="86"/>
      <c r="K196" s="87"/>
      <c r="L196" s="90"/>
      <c r="M196" s="90"/>
      <c r="N196" s="90"/>
      <c r="O196" s="90"/>
      <c r="P196" s="90"/>
      <c r="Q196" s="90"/>
      <c r="R196" s="91"/>
      <c r="S196" s="91"/>
      <c r="T196" s="90"/>
      <c r="U196" s="90"/>
      <c r="V196" s="92"/>
      <c r="W196" s="90"/>
      <c r="X196" s="91"/>
      <c r="Y196" s="94"/>
    </row>
    <row r="197" spans="1:25" ht="20.25">
      <c r="A197" s="23" t="s">
        <v>288</v>
      </c>
      <c r="B197" s="24"/>
      <c r="C197" s="25"/>
      <c r="D197" s="24"/>
      <c r="E197" s="24"/>
      <c r="F197" s="25"/>
      <c r="G197" s="24"/>
      <c r="H197" s="24"/>
      <c r="I197" s="26"/>
      <c r="J197" s="24"/>
      <c r="K197" s="25"/>
      <c r="L197" s="95"/>
      <c r="M197" s="95"/>
      <c r="N197" s="95"/>
      <c r="O197" s="95"/>
      <c r="P197" s="95"/>
      <c r="Q197" s="95"/>
      <c r="R197" s="95"/>
      <c r="S197" s="95"/>
      <c r="T197" s="95"/>
      <c r="U197" s="95"/>
      <c r="V197" s="96"/>
      <c r="W197" s="95"/>
      <c r="X197" s="95"/>
      <c r="Y197" s="97" t="s">
        <v>186</v>
      </c>
    </row>
    <row r="198" spans="1:25" ht="15.75" customHeight="1">
      <c r="A198" s="11">
        <v>2</v>
      </c>
      <c r="B198" s="30" t="s">
        <v>141</v>
      </c>
      <c r="C198" s="31"/>
      <c r="D198" s="30"/>
      <c r="E198" s="30"/>
      <c r="F198" s="31"/>
      <c r="G198" s="30"/>
      <c r="H198" s="30"/>
      <c r="I198" s="32"/>
      <c r="J198" s="30"/>
      <c r="K198" s="30"/>
      <c r="L198" s="98"/>
      <c r="M198" s="98"/>
      <c r="N198" s="98"/>
      <c r="O198" s="98"/>
      <c r="P198" s="98"/>
      <c r="Q198" s="98"/>
      <c r="R198" s="98"/>
      <c r="S198" s="98"/>
      <c r="T198" s="98"/>
      <c r="U198" s="98"/>
      <c r="V198" s="99"/>
      <c r="W198" s="98"/>
      <c r="X198" s="98"/>
      <c r="Y198" s="100"/>
    </row>
    <row r="199" spans="1:25" ht="15.75" customHeight="1">
      <c r="A199" s="101"/>
      <c r="B199" s="198">
        <v>2</v>
      </c>
      <c r="C199" s="36" t="s">
        <v>289</v>
      </c>
      <c r="D199" s="37"/>
      <c r="E199" s="37"/>
      <c r="F199" s="38"/>
      <c r="G199" s="37"/>
      <c r="H199" s="37"/>
      <c r="I199" s="39"/>
      <c r="J199" s="37"/>
      <c r="K199" s="37"/>
      <c r="L199" s="102"/>
      <c r="M199" s="102"/>
      <c r="N199" s="102"/>
      <c r="O199" s="102"/>
      <c r="P199" s="102"/>
      <c r="Q199" s="102"/>
      <c r="R199" s="102"/>
      <c r="S199" s="102"/>
      <c r="T199" s="102"/>
      <c r="U199" s="102"/>
      <c r="V199" s="103"/>
      <c r="W199" s="102"/>
      <c r="X199" s="102"/>
      <c r="Y199" s="104"/>
    </row>
    <row r="200" spans="1:25" ht="15" customHeight="1">
      <c r="A200" s="50"/>
      <c r="B200" s="101"/>
      <c r="C200" s="87"/>
      <c r="D200" s="86"/>
      <c r="E200" s="351">
        <v>8</v>
      </c>
      <c r="F200" s="109" t="s">
        <v>290</v>
      </c>
      <c r="G200" s="109"/>
      <c r="H200" s="109"/>
      <c r="I200" s="109"/>
      <c r="J200" s="109"/>
      <c r="K200" s="109"/>
      <c r="L200" s="111"/>
      <c r="M200" s="111"/>
      <c r="N200" s="111"/>
      <c r="O200" s="111"/>
      <c r="P200" s="111"/>
      <c r="Q200" s="111"/>
      <c r="R200" s="111"/>
      <c r="S200" s="111"/>
      <c r="T200" s="111"/>
      <c r="U200" s="111"/>
      <c r="V200" s="112"/>
      <c r="W200" s="111"/>
      <c r="X200" s="111"/>
      <c r="Y200" s="113"/>
    </row>
    <row r="201" spans="1:25" ht="48.75" customHeight="1">
      <c r="A201" s="50"/>
      <c r="B201" s="50"/>
      <c r="C201" s="251">
        <v>6</v>
      </c>
      <c r="D201" s="164" t="s">
        <v>279</v>
      </c>
      <c r="E201" s="136"/>
      <c r="F201" s="54">
        <v>38</v>
      </c>
      <c r="G201" s="52" t="s">
        <v>291</v>
      </c>
      <c r="H201" s="1077" t="s">
        <v>292</v>
      </c>
      <c r="I201" s="1076" t="s">
        <v>293</v>
      </c>
      <c r="J201" s="1077" t="s">
        <v>294</v>
      </c>
      <c r="K201" s="262" t="s">
        <v>30</v>
      </c>
      <c r="L201" s="57"/>
      <c r="M201" s="57"/>
      <c r="N201" s="57"/>
      <c r="O201" s="57"/>
      <c r="P201" s="57"/>
      <c r="Q201" s="57"/>
      <c r="R201" s="57"/>
      <c r="S201" s="57"/>
      <c r="T201" s="57"/>
      <c r="U201" s="57"/>
      <c r="V201" s="59">
        <v>30000000</v>
      </c>
      <c r="W201" s="60"/>
      <c r="X201" s="60"/>
      <c r="Y201" s="61">
        <f t="shared" ref="Y201:Y202" si="75">+L201+M201+N201+O201+P201+Q201+R201+S201+T201+U201+V201+W201+X201</f>
        <v>30000000</v>
      </c>
    </row>
    <row r="202" spans="1:25" ht="55.5" customHeight="1">
      <c r="A202" s="50"/>
      <c r="B202" s="50"/>
      <c r="C202" s="251">
        <v>6</v>
      </c>
      <c r="D202" s="164" t="s">
        <v>279</v>
      </c>
      <c r="E202" s="53"/>
      <c r="F202" s="54">
        <v>39</v>
      </c>
      <c r="G202" s="136" t="s">
        <v>295</v>
      </c>
      <c r="H202" s="1080"/>
      <c r="I202" s="1079"/>
      <c r="J202" s="1080"/>
      <c r="K202" s="262" t="s">
        <v>30</v>
      </c>
      <c r="L202" s="57"/>
      <c r="M202" s="57"/>
      <c r="N202" s="57"/>
      <c r="O202" s="57"/>
      <c r="P202" s="57"/>
      <c r="Q202" s="57"/>
      <c r="R202" s="57"/>
      <c r="S202" s="57"/>
      <c r="T202" s="57"/>
      <c r="U202" s="57"/>
      <c r="V202" s="59">
        <f>50000000+35000000</f>
        <v>85000000</v>
      </c>
      <c r="W202" s="60"/>
      <c r="X202" s="60"/>
      <c r="Y202" s="61">
        <f t="shared" si="75"/>
        <v>85000000</v>
      </c>
    </row>
    <row r="203" spans="1:25" ht="15" customHeight="1">
      <c r="A203" s="50"/>
      <c r="B203" s="50"/>
      <c r="C203" s="51"/>
      <c r="D203" s="52"/>
      <c r="E203" s="64"/>
      <c r="F203" s="65"/>
      <c r="G203" s="64"/>
      <c r="H203" s="65"/>
      <c r="I203" s="67"/>
      <c r="J203" s="64"/>
      <c r="K203" s="65"/>
      <c r="L203" s="68"/>
      <c r="M203" s="68"/>
      <c r="N203" s="68"/>
      <c r="O203" s="68"/>
      <c r="P203" s="68"/>
      <c r="Q203" s="68"/>
      <c r="R203" s="68"/>
      <c r="S203" s="68"/>
      <c r="T203" s="68"/>
      <c r="U203" s="68"/>
      <c r="V203" s="68">
        <f>SUM(V201:V202)</f>
        <v>115000000</v>
      </c>
      <c r="W203" s="68">
        <f>SUM(W201:W202)</f>
        <v>0</v>
      </c>
      <c r="X203" s="68">
        <f>SUM(X201:X202)</f>
        <v>0</v>
      </c>
      <c r="Y203" s="68">
        <f>SUM(Y201:Y202)</f>
        <v>115000000</v>
      </c>
    </row>
    <row r="204" spans="1:25" ht="15" customHeight="1">
      <c r="A204" s="50"/>
      <c r="B204" s="50"/>
      <c r="C204" s="51"/>
      <c r="D204" s="52"/>
      <c r="E204" s="52"/>
      <c r="F204" s="54"/>
      <c r="G204" s="52"/>
      <c r="H204" s="139"/>
      <c r="I204" s="352"/>
      <c r="J204" s="138"/>
      <c r="K204" s="54"/>
      <c r="L204" s="57"/>
      <c r="M204" s="57"/>
      <c r="N204" s="57"/>
      <c r="O204" s="57"/>
      <c r="P204" s="57"/>
      <c r="Q204" s="57"/>
      <c r="R204" s="57"/>
      <c r="S204" s="57"/>
      <c r="T204" s="353"/>
      <c r="U204" s="353"/>
      <c r="V204" s="354"/>
      <c r="W204" s="60"/>
      <c r="X204" s="60"/>
      <c r="Y204" s="94"/>
    </row>
    <row r="205" spans="1:25" ht="15" customHeight="1">
      <c r="A205" s="50"/>
      <c r="B205" s="50"/>
      <c r="C205" s="51"/>
      <c r="D205" s="52"/>
      <c r="E205" s="243">
        <v>9</v>
      </c>
      <c r="F205" s="277" t="s">
        <v>296</v>
      </c>
      <c r="G205" s="109"/>
      <c r="H205" s="109"/>
      <c r="I205" s="109"/>
      <c r="J205" s="109"/>
      <c r="K205" s="109"/>
      <c r="L205" s="111"/>
      <c r="M205" s="111"/>
      <c r="N205" s="111"/>
      <c r="O205" s="111"/>
      <c r="P205" s="111"/>
      <c r="Q205" s="111"/>
      <c r="R205" s="111"/>
      <c r="S205" s="111"/>
      <c r="T205" s="111"/>
      <c r="U205" s="111"/>
      <c r="V205" s="112"/>
      <c r="W205" s="111"/>
      <c r="X205" s="111"/>
      <c r="Y205" s="113"/>
    </row>
    <row r="206" spans="1:25" ht="48.75" customHeight="1">
      <c r="A206" s="50"/>
      <c r="B206" s="50"/>
      <c r="C206" s="160">
        <v>5</v>
      </c>
      <c r="D206" s="52" t="s">
        <v>297</v>
      </c>
      <c r="E206" s="1095">
        <v>0</v>
      </c>
      <c r="F206" s="54">
        <v>43</v>
      </c>
      <c r="G206" s="52" t="s">
        <v>298</v>
      </c>
      <c r="H206" s="1095" t="s">
        <v>292</v>
      </c>
      <c r="I206" s="1076" t="s">
        <v>299</v>
      </c>
      <c r="J206" s="1077" t="s">
        <v>300</v>
      </c>
      <c r="K206" s="54" t="s">
        <v>109</v>
      </c>
      <c r="L206" s="57"/>
      <c r="M206" s="57"/>
      <c r="N206" s="57"/>
      <c r="O206" s="57"/>
      <c r="P206" s="57"/>
      <c r="Q206" s="57"/>
      <c r="R206" s="57"/>
      <c r="S206" s="57"/>
      <c r="T206" s="57"/>
      <c r="U206" s="57"/>
      <c r="V206" s="59">
        <f>40000000+15085000</f>
        <v>55085000</v>
      </c>
      <c r="W206" s="60"/>
      <c r="X206" s="60"/>
      <c r="Y206" s="61">
        <f t="shared" ref="Y206:Y208" si="76">+L206+M206+N206+O206+P206+Q206+R206+S206+T206+U206+V206+W206+X206</f>
        <v>55085000</v>
      </c>
    </row>
    <row r="207" spans="1:25" ht="55.5" customHeight="1">
      <c r="A207" s="50"/>
      <c r="B207" s="50"/>
      <c r="C207" s="54">
        <v>7</v>
      </c>
      <c r="D207" s="202" t="s">
        <v>301</v>
      </c>
      <c r="E207" s="1060"/>
      <c r="F207" s="54">
        <v>45</v>
      </c>
      <c r="G207" s="52" t="s">
        <v>302</v>
      </c>
      <c r="H207" s="1060"/>
      <c r="I207" s="1061"/>
      <c r="J207" s="1064"/>
      <c r="K207" s="54" t="s">
        <v>109</v>
      </c>
      <c r="L207" s="57"/>
      <c r="M207" s="57"/>
      <c r="N207" s="57"/>
      <c r="O207" s="57"/>
      <c r="P207" s="57"/>
      <c r="Q207" s="57"/>
      <c r="R207" s="57"/>
      <c r="S207" s="57"/>
      <c r="T207" s="57"/>
      <c r="U207" s="57"/>
      <c r="V207" s="59">
        <v>100000000</v>
      </c>
      <c r="W207" s="60"/>
      <c r="X207" s="60"/>
      <c r="Y207" s="61">
        <f t="shared" si="76"/>
        <v>100000000</v>
      </c>
    </row>
    <row r="208" spans="1:25" ht="71.25">
      <c r="A208" s="50"/>
      <c r="B208" s="50"/>
      <c r="C208" s="54">
        <v>7</v>
      </c>
      <c r="D208" s="202" t="s">
        <v>301</v>
      </c>
      <c r="E208" s="1096"/>
      <c r="F208" s="54">
        <v>46</v>
      </c>
      <c r="G208" s="52" t="s">
        <v>303</v>
      </c>
      <c r="H208" s="1096"/>
      <c r="I208" s="1079"/>
      <c r="J208" s="1080"/>
      <c r="K208" s="54" t="s">
        <v>30</v>
      </c>
      <c r="L208" s="57"/>
      <c r="M208" s="57"/>
      <c r="N208" s="57"/>
      <c r="O208" s="57"/>
      <c r="P208" s="57"/>
      <c r="Q208" s="57"/>
      <c r="R208" s="57"/>
      <c r="S208" s="57"/>
      <c r="T208" s="57"/>
      <c r="U208" s="57"/>
      <c r="V208" s="59">
        <v>100000000</v>
      </c>
      <c r="W208" s="60"/>
      <c r="X208" s="60"/>
      <c r="Y208" s="61">
        <f t="shared" si="76"/>
        <v>100000000</v>
      </c>
    </row>
    <row r="209" spans="1:25" ht="15" customHeight="1">
      <c r="A209" s="50"/>
      <c r="B209" s="50"/>
      <c r="C209" s="139"/>
      <c r="D209" s="138"/>
      <c r="E209" s="64"/>
      <c r="F209" s="65"/>
      <c r="G209" s="64"/>
      <c r="H209" s="65"/>
      <c r="I209" s="67"/>
      <c r="J209" s="64"/>
      <c r="K209" s="65"/>
      <c r="L209" s="68"/>
      <c r="M209" s="68"/>
      <c r="N209" s="68"/>
      <c r="O209" s="68"/>
      <c r="P209" s="68"/>
      <c r="Q209" s="68"/>
      <c r="R209" s="68"/>
      <c r="S209" s="68"/>
      <c r="T209" s="68"/>
      <c r="U209" s="68"/>
      <c r="V209" s="68">
        <f>SUM(V206:V208)</f>
        <v>255085000</v>
      </c>
      <c r="W209" s="68">
        <f>SUM(W206:W208)</f>
        <v>0</v>
      </c>
      <c r="X209" s="68">
        <f>SUM(X206:X208)</f>
        <v>0</v>
      </c>
      <c r="Y209" s="68">
        <f>SUM(Y206:Y208)</f>
        <v>255085000</v>
      </c>
    </row>
    <row r="210" spans="1:25" ht="15" customHeight="1">
      <c r="A210" s="50"/>
      <c r="B210" s="201"/>
      <c r="C210" s="355"/>
      <c r="D210" s="313"/>
      <c r="E210" s="183"/>
      <c r="F210" s="184"/>
      <c r="G210" s="183"/>
      <c r="H210" s="184"/>
      <c r="I210" s="186"/>
      <c r="J210" s="183"/>
      <c r="K210" s="184"/>
      <c r="L210" s="188"/>
      <c r="M210" s="188"/>
      <c r="N210" s="188"/>
      <c r="O210" s="188"/>
      <c r="P210" s="188"/>
      <c r="Q210" s="188"/>
      <c r="R210" s="188"/>
      <c r="S210" s="188"/>
      <c r="T210" s="188"/>
      <c r="U210" s="188"/>
      <c r="V210" s="306"/>
      <c r="W210" s="188"/>
      <c r="X210" s="188"/>
      <c r="Y210" s="94"/>
    </row>
    <row r="211" spans="1:25" ht="15" customHeight="1">
      <c r="A211" s="50"/>
      <c r="B211" s="50"/>
      <c r="C211" s="339"/>
      <c r="D211" s="204"/>
      <c r="E211" s="243">
        <v>10</v>
      </c>
      <c r="F211" s="277" t="s">
        <v>304</v>
      </c>
      <c r="G211" s="109"/>
      <c r="H211" s="109"/>
      <c r="I211" s="109"/>
      <c r="J211" s="109"/>
      <c r="K211" s="109"/>
      <c r="L211" s="111"/>
      <c r="M211" s="111"/>
      <c r="N211" s="111"/>
      <c r="O211" s="111"/>
      <c r="P211" s="111"/>
      <c r="Q211" s="111"/>
      <c r="R211" s="111"/>
      <c r="S211" s="111"/>
      <c r="T211" s="111"/>
      <c r="U211" s="111"/>
      <c r="V211" s="112"/>
      <c r="W211" s="111"/>
      <c r="X211" s="111"/>
      <c r="Y211" s="113"/>
    </row>
    <row r="212" spans="1:25" ht="79.5" customHeight="1">
      <c r="A212" s="50"/>
      <c r="B212" s="50"/>
      <c r="C212" s="54">
        <v>6</v>
      </c>
      <c r="D212" s="202" t="s">
        <v>305</v>
      </c>
      <c r="E212" s="202"/>
      <c r="F212" s="54">
        <v>47</v>
      </c>
      <c r="G212" s="52" t="s">
        <v>306</v>
      </c>
      <c r="H212" s="1077" t="s">
        <v>292</v>
      </c>
      <c r="I212" s="1076" t="s">
        <v>307</v>
      </c>
      <c r="J212" s="1077" t="s">
        <v>308</v>
      </c>
      <c r="K212" s="54" t="s">
        <v>109</v>
      </c>
      <c r="L212" s="57"/>
      <c r="M212" s="57"/>
      <c r="N212" s="57"/>
      <c r="O212" s="57"/>
      <c r="P212" s="57"/>
      <c r="Q212" s="57"/>
      <c r="R212" s="57"/>
      <c r="S212" s="57"/>
      <c r="T212" s="57"/>
      <c r="U212" s="57"/>
      <c r="V212" s="59">
        <v>60000000</v>
      </c>
      <c r="W212" s="60"/>
      <c r="X212" s="60"/>
      <c r="Y212" s="61">
        <f t="shared" ref="Y212:Y213" si="77">+L212+M212+N212+O212+P212+Q212+R212+S212+T212+U212+V212+W212+X212</f>
        <v>60000000</v>
      </c>
    </row>
    <row r="213" spans="1:25" ht="70.5" customHeight="1">
      <c r="A213" s="50"/>
      <c r="B213" s="50"/>
      <c r="C213" s="356">
        <v>6</v>
      </c>
      <c r="D213" s="53" t="s">
        <v>305</v>
      </c>
      <c r="E213" s="53"/>
      <c r="F213" s="54">
        <v>48</v>
      </c>
      <c r="G213" s="52" t="s">
        <v>309</v>
      </c>
      <c r="H213" s="1064"/>
      <c r="I213" s="1061"/>
      <c r="J213" s="1064"/>
      <c r="K213" s="54" t="s">
        <v>30</v>
      </c>
      <c r="L213" s="57"/>
      <c r="M213" s="57"/>
      <c r="N213" s="57"/>
      <c r="O213" s="57"/>
      <c r="P213" s="57"/>
      <c r="Q213" s="57"/>
      <c r="R213" s="57"/>
      <c r="S213" s="57"/>
      <c r="T213" s="57"/>
      <c r="U213" s="57"/>
      <c r="V213" s="59">
        <v>200000000</v>
      </c>
      <c r="W213" s="60"/>
      <c r="X213" s="60"/>
      <c r="Y213" s="61">
        <f t="shared" si="77"/>
        <v>200000000</v>
      </c>
    </row>
    <row r="214" spans="1:25" ht="15.75" customHeight="1">
      <c r="A214" s="50"/>
      <c r="B214" s="63"/>
      <c r="C214" s="51"/>
      <c r="D214" s="52"/>
      <c r="E214" s="64"/>
      <c r="F214" s="65"/>
      <c r="G214" s="64"/>
      <c r="H214" s="65"/>
      <c r="I214" s="67"/>
      <c r="J214" s="64"/>
      <c r="K214" s="65"/>
      <c r="L214" s="68"/>
      <c r="M214" s="68"/>
      <c r="N214" s="68"/>
      <c r="O214" s="68"/>
      <c r="P214" s="68"/>
      <c r="Q214" s="68"/>
      <c r="R214" s="68"/>
      <c r="S214" s="68"/>
      <c r="T214" s="68"/>
      <c r="U214" s="68"/>
      <c r="V214" s="68">
        <f>SUM(V212:V213)</f>
        <v>260000000</v>
      </c>
      <c r="W214" s="68">
        <f>SUM(W212:W213)</f>
        <v>0</v>
      </c>
      <c r="X214" s="68">
        <f>SUM(X212:X213)</f>
        <v>0</v>
      </c>
      <c r="Y214" s="68">
        <f>SUM(Y212:Y213)</f>
        <v>260000000</v>
      </c>
    </row>
    <row r="215" spans="1:25" ht="15" customHeight="1">
      <c r="A215" s="50"/>
      <c r="B215" s="142"/>
      <c r="C215" s="71"/>
      <c r="D215" s="70"/>
      <c r="E215" s="70"/>
      <c r="F215" s="71"/>
      <c r="G215" s="70"/>
      <c r="H215" s="71"/>
      <c r="I215" s="73"/>
      <c r="J215" s="70"/>
      <c r="K215" s="71"/>
      <c r="L215" s="74"/>
      <c r="M215" s="74"/>
      <c r="N215" s="74"/>
      <c r="O215" s="74"/>
      <c r="P215" s="74"/>
      <c r="Q215" s="74"/>
      <c r="R215" s="74"/>
      <c r="S215" s="74"/>
      <c r="T215" s="74"/>
      <c r="U215" s="74"/>
      <c r="V215" s="74">
        <f>V214+V209+V203</f>
        <v>630085000</v>
      </c>
      <c r="W215" s="74">
        <f>W214+W209+W203</f>
        <v>0</v>
      </c>
      <c r="X215" s="74">
        <f>X214+X209+X203</f>
        <v>0</v>
      </c>
      <c r="Y215" s="74">
        <f>Y214+Y209+Y203</f>
        <v>630085000</v>
      </c>
    </row>
    <row r="216" spans="1:25" ht="15" customHeight="1">
      <c r="A216" s="50"/>
      <c r="B216" s="114"/>
      <c r="C216" s="54"/>
      <c r="D216" s="52"/>
      <c r="E216" s="52"/>
      <c r="F216" s="54"/>
      <c r="G216" s="52"/>
      <c r="H216" s="54"/>
      <c r="I216" s="115"/>
      <c r="J216" s="52"/>
      <c r="K216" s="54"/>
      <c r="L216" s="57"/>
      <c r="M216" s="57"/>
      <c r="N216" s="57"/>
      <c r="O216" s="57"/>
      <c r="P216" s="57"/>
      <c r="Q216" s="57"/>
      <c r="R216" s="57"/>
      <c r="S216" s="57"/>
      <c r="T216" s="57"/>
      <c r="U216" s="57"/>
      <c r="V216" s="241"/>
      <c r="W216" s="60"/>
      <c r="X216" s="60"/>
      <c r="Y216" s="94"/>
    </row>
    <row r="217" spans="1:25" ht="15.75" customHeight="1">
      <c r="A217" s="50"/>
      <c r="B217" s="198">
        <v>3</v>
      </c>
      <c r="C217" s="36" t="s">
        <v>310</v>
      </c>
      <c r="D217" s="37"/>
      <c r="E217" s="37"/>
      <c r="F217" s="38"/>
      <c r="G217" s="37"/>
      <c r="H217" s="37"/>
      <c r="I217" s="39"/>
      <c r="J217" s="37"/>
      <c r="K217" s="37"/>
      <c r="L217" s="102"/>
      <c r="M217" s="102"/>
      <c r="N217" s="102"/>
      <c r="O217" s="102"/>
      <c r="P217" s="102"/>
      <c r="Q217" s="102"/>
      <c r="R217" s="102"/>
      <c r="S217" s="102"/>
      <c r="T217" s="102"/>
      <c r="U217" s="102"/>
      <c r="V217" s="103"/>
      <c r="W217" s="102"/>
      <c r="X217" s="102"/>
      <c r="Y217" s="104"/>
    </row>
    <row r="218" spans="1:25" ht="15" customHeight="1">
      <c r="A218" s="50"/>
      <c r="B218" s="136" t="s">
        <v>186</v>
      </c>
      <c r="C218" s="200"/>
      <c r="D218" s="357"/>
      <c r="E218" s="345">
        <v>11</v>
      </c>
      <c r="F218" s="47" t="s">
        <v>311</v>
      </c>
      <c r="G218" s="47"/>
      <c r="H218" s="47"/>
      <c r="I218" s="47"/>
      <c r="J218" s="47"/>
      <c r="K218" s="47"/>
      <c r="L218" s="284"/>
      <c r="M218" s="284"/>
      <c r="N218" s="284"/>
      <c r="O218" s="284"/>
      <c r="P218" s="284"/>
      <c r="Q218" s="284"/>
      <c r="R218" s="284"/>
      <c r="S218" s="284"/>
      <c r="T218" s="284"/>
      <c r="U218" s="284"/>
      <c r="V218" s="285"/>
      <c r="W218" s="284"/>
      <c r="X218" s="284"/>
      <c r="Y218" s="286"/>
    </row>
    <row r="219" spans="1:25" ht="68.25" customHeight="1">
      <c r="A219" s="226"/>
      <c r="B219" s="230"/>
      <c r="C219" s="329">
        <v>8</v>
      </c>
      <c r="D219" s="268" t="s">
        <v>312</v>
      </c>
      <c r="E219" s="329"/>
      <c r="F219" s="256">
        <v>51</v>
      </c>
      <c r="G219" s="232" t="s">
        <v>313</v>
      </c>
      <c r="H219" s="329" t="s">
        <v>292</v>
      </c>
      <c r="I219" s="358" t="s">
        <v>314</v>
      </c>
      <c r="J219" s="268" t="s">
        <v>315</v>
      </c>
      <c r="K219" s="234" t="s">
        <v>30</v>
      </c>
      <c r="L219" s="235"/>
      <c r="M219" s="235"/>
      <c r="N219" s="235"/>
      <c r="O219" s="235"/>
      <c r="P219" s="235"/>
      <c r="Q219" s="235"/>
      <c r="R219" s="235"/>
      <c r="S219" s="235"/>
      <c r="T219" s="235"/>
      <c r="U219" s="235"/>
      <c r="V219" s="237">
        <f>260085000+120000000+250000000</f>
        <v>630085000</v>
      </c>
      <c r="W219" s="238"/>
      <c r="X219" s="238"/>
      <c r="Y219" s="61">
        <f t="shared" ref="Y219" si="78">+L219+M219+N219+O219+P219+Q219+R219+S219+T219+U219+V219+W219+X219</f>
        <v>630085000</v>
      </c>
    </row>
    <row r="220" spans="1:25" ht="15" customHeight="1">
      <c r="A220" s="50"/>
      <c r="B220" s="53"/>
      <c r="C220" s="51"/>
      <c r="D220" s="52"/>
      <c r="E220" s="64"/>
      <c r="F220" s="65"/>
      <c r="G220" s="64"/>
      <c r="H220" s="65"/>
      <c r="I220" s="67"/>
      <c r="J220" s="64"/>
      <c r="K220" s="65"/>
      <c r="L220" s="68"/>
      <c r="M220" s="68"/>
      <c r="N220" s="68"/>
      <c r="O220" s="68"/>
      <c r="P220" s="68"/>
      <c r="Q220" s="68"/>
      <c r="R220" s="68"/>
      <c r="S220" s="68"/>
      <c r="T220" s="68"/>
      <c r="U220" s="68"/>
      <c r="V220" s="68">
        <f>SUM(V219:V219)</f>
        <v>630085000</v>
      </c>
      <c r="W220" s="68">
        <f>SUM(W219:W219)</f>
        <v>0</v>
      </c>
      <c r="X220" s="68">
        <f>SUM(X219:X219)</f>
        <v>0</v>
      </c>
      <c r="Y220" s="68">
        <f>SUM(Y219:Y219)</f>
        <v>630085000</v>
      </c>
    </row>
    <row r="221" spans="1:25" ht="15" customHeight="1">
      <c r="A221" s="50"/>
      <c r="B221" s="53"/>
      <c r="C221" s="87"/>
      <c r="D221" s="86"/>
      <c r="E221" s="86"/>
      <c r="F221" s="87"/>
      <c r="G221" s="86"/>
      <c r="H221" s="87"/>
      <c r="I221" s="89"/>
      <c r="J221" s="86"/>
      <c r="K221" s="87"/>
      <c r="L221" s="90"/>
      <c r="M221" s="90"/>
      <c r="N221" s="90"/>
      <c r="O221" s="90"/>
      <c r="P221" s="90"/>
      <c r="Q221" s="90"/>
      <c r="R221" s="90"/>
      <c r="S221" s="90"/>
      <c r="T221" s="188"/>
      <c r="U221" s="188"/>
      <c r="V221" s="306"/>
      <c r="W221" s="90"/>
      <c r="X221" s="90"/>
      <c r="Y221" s="94"/>
    </row>
    <row r="222" spans="1:25" s="359" customFormat="1" ht="20.25" customHeight="1">
      <c r="A222" s="50"/>
      <c r="B222" s="53"/>
      <c r="C222" s="51"/>
      <c r="D222" s="52"/>
      <c r="E222" s="107">
        <v>13</v>
      </c>
      <c r="F222" s="278" t="s">
        <v>316</v>
      </c>
      <c r="G222" s="109"/>
      <c r="H222" s="109"/>
      <c r="I222" s="110"/>
      <c r="J222" s="109"/>
      <c r="K222" s="109"/>
      <c r="L222" s="111"/>
      <c r="M222" s="111"/>
      <c r="N222" s="111"/>
      <c r="O222" s="111"/>
      <c r="P222" s="111"/>
      <c r="Q222" s="111"/>
      <c r="R222" s="111"/>
      <c r="S222" s="111"/>
      <c r="T222" s="111"/>
      <c r="U222" s="111"/>
      <c r="V222" s="112"/>
      <c r="W222" s="111"/>
      <c r="X222" s="111"/>
      <c r="Y222" s="113"/>
    </row>
    <row r="223" spans="1:25" s="361" customFormat="1" ht="73.5" customHeight="1">
      <c r="A223" s="50"/>
      <c r="B223" s="53"/>
      <c r="C223" s="51">
        <v>8</v>
      </c>
      <c r="D223" s="52" t="s">
        <v>317</v>
      </c>
      <c r="E223" s="136"/>
      <c r="F223" s="54">
        <v>53</v>
      </c>
      <c r="G223" s="52" t="s">
        <v>318</v>
      </c>
      <c r="H223" s="52" t="s">
        <v>292</v>
      </c>
      <c r="I223" s="115" t="s">
        <v>319</v>
      </c>
      <c r="J223" s="360" t="s">
        <v>320</v>
      </c>
      <c r="K223" s="54" t="s">
        <v>30</v>
      </c>
      <c r="L223" s="57"/>
      <c r="M223" s="57"/>
      <c r="N223" s="57"/>
      <c r="O223" s="57"/>
      <c r="P223" s="57"/>
      <c r="Q223" s="57"/>
      <c r="R223" s="57"/>
      <c r="S223" s="57"/>
      <c r="T223" s="57"/>
      <c r="U223" s="57"/>
      <c r="V223" s="59"/>
      <c r="W223" s="241">
        <v>582080000</v>
      </c>
      <c r="X223" s="241"/>
      <c r="Y223" s="61">
        <f t="shared" ref="Y223" si="79">+L223+M223+N223+O223+P223+Q223+R223+S223+T223+U223+V223+W223+X223</f>
        <v>582080000</v>
      </c>
    </row>
    <row r="224" spans="1:25" ht="15" customHeight="1">
      <c r="A224" s="50"/>
      <c r="B224" s="62"/>
      <c r="C224" s="51"/>
      <c r="D224" s="52"/>
      <c r="E224" s="64"/>
      <c r="F224" s="65"/>
      <c r="G224" s="64"/>
      <c r="H224" s="65"/>
      <c r="I224" s="67"/>
      <c r="J224" s="64"/>
      <c r="K224" s="65"/>
      <c r="L224" s="68"/>
      <c r="M224" s="68"/>
      <c r="N224" s="68"/>
      <c r="O224" s="68"/>
      <c r="P224" s="68"/>
      <c r="Q224" s="68"/>
      <c r="R224" s="68"/>
      <c r="S224" s="68"/>
      <c r="T224" s="68"/>
      <c r="U224" s="68"/>
      <c r="V224" s="68">
        <f t="shared" ref="V224:Y224" si="80">SUM(V223:V223)</f>
        <v>0</v>
      </c>
      <c r="W224" s="68">
        <f t="shared" si="80"/>
        <v>582080000</v>
      </c>
      <c r="X224" s="68">
        <f t="shared" si="80"/>
        <v>0</v>
      </c>
      <c r="Y224" s="68">
        <f t="shared" si="80"/>
        <v>582080000</v>
      </c>
    </row>
    <row r="225" spans="1:25" ht="15" customHeight="1">
      <c r="A225" s="63"/>
      <c r="B225" s="142"/>
      <c r="C225" s="71"/>
      <c r="D225" s="70"/>
      <c r="E225" s="70"/>
      <c r="F225" s="71"/>
      <c r="G225" s="70"/>
      <c r="H225" s="71"/>
      <c r="I225" s="73"/>
      <c r="J225" s="70"/>
      <c r="K225" s="71"/>
      <c r="L225" s="74"/>
      <c r="M225" s="74"/>
      <c r="N225" s="74"/>
      <c r="O225" s="74"/>
      <c r="P225" s="74"/>
      <c r="Q225" s="74"/>
      <c r="R225" s="74"/>
      <c r="S225" s="74"/>
      <c r="T225" s="74"/>
      <c r="U225" s="74"/>
      <c r="V225" s="74">
        <f>V224+V220</f>
        <v>630085000</v>
      </c>
      <c r="W225" s="74">
        <f t="shared" ref="W225:Y225" si="81">W224+W220</f>
        <v>582080000</v>
      </c>
      <c r="X225" s="74">
        <f t="shared" si="81"/>
        <v>0</v>
      </c>
      <c r="Y225" s="74">
        <f t="shared" si="81"/>
        <v>1212165000</v>
      </c>
    </row>
    <row r="226" spans="1:25" ht="15" customHeight="1">
      <c r="A226" s="75"/>
      <c r="B226" s="75"/>
      <c r="C226" s="76"/>
      <c r="D226" s="75"/>
      <c r="E226" s="75"/>
      <c r="F226" s="76"/>
      <c r="G226" s="75"/>
      <c r="H226" s="76"/>
      <c r="I226" s="78"/>
      <c r="J226" s="75"/>
      <c r="K226" s="76"/>
      <c r="L226" s="79"/>
      <c r="M226" s="79"/>
      <c r="N226" s="79"/>
      <c r="O226" s="79"/>
      <c r="P226" s="79"/>
      <c r="Q226" s="79"/>
      <c r="R226" s="79"/>
      <c r="S226" s="79"/>
      <c r="T226" s="79"/>
      <c r="U226" s="79"/>
      <c r="V226" s="79">
        <f>V225+V215</f>
        <v>1260170000</v>
      </c>
      <c r="W226" s="79">
        <f>W225+W215</f>
        <v>582080000</v>
      </c>
      <c r="X226" s="79">
        <f>X225+X215</f>
        <v>0</v>
      </c>
      <c r="Y226" s="79">
        <f>Y225+Y215</f>
        <v>1842250000</v>
      </c>
    </row>
    <row r="227" spans="1:25" ht="15" customHeight="1">
      <c r="A227" s="80"/>
      <c r="B227" s="80"/>
      <c r="C227" s="81"/>
      <c r="D227" s="80"/>
      <c r="E227" s="80"/>
      <c r="F227" s="81"/>
      <c r="G227" s="80"/>
      <c r="H227" s="81"/>
      <c r="I227" s="83"/>
      <c r="J227" s="80"/>
      <c r="K227" s="81"/>
      <c r="L227" s="84"/>
      <c r="M227" s="84"/>
      <c r="N227" s="84"/>
      <c r="O227" s="84"/>
      <c r="P227" s="84"/>
      <c r="Q227" s="84"/>
      <c r="R227" s="84"/>
      <c r="S227" s="84"/>
      <c r="T227" s="84"/>
      <c r="U227" s="84"/>
      <c r="V227" s="84">
        <f t="shared" ref="V227:Y227" si="82">V226</f>
        <v>1260170000</v>
      </c>
      <c r="W227" s="84">
        <f t="shared" si="82"/>
        <v>582080000</v>
      </c>
      <c r="X227" s="84">
        <f t="shared" si="82"/>
        <v>0</v>
      </c>
      <c r="Y227" s="84">
        <f t="shared" si="82"/>
        <v>1842250000</v>
      </c>
    </row>
    <row r="228" spans="1:25" ht="32.25" customHeight="1">
      <c r="A228" s="85"/>
      <c r="B228" s="86"/>
      <c r="C228" s="87"/>
      <c r="D228" s="86"/>
      <c r="E228" s="86"/>
      <c r="F228" s="87"/>
      <c r="G228" s="86"/>
      <c r="H228" s="87"/>
      <c r="I228" s="89"/>
      <c r="J228" s="86"/>
      <c r="K228" s="87"/>
      <c r="L228" s="90"/>
      <c r="M228" s="90"/>
      <c r="N228" s="90"/>
      <c r="O228" s="90"/>
      <c r="P228" s="90"/>
      <c r="Q228" s="90"/>
      <c r="R228" s="91"/>
      <c r="S228" s="91"/>
      <c r="T228" s="90"/>
      <c r="U228" s="90"/>
      <c r="V228" s="92"/>
      <c r="W228" s="362"/>
      <c r="X228" s="362"/>
      <c r="Y228" s="94"/>
    </row>
    <row r="229" spans="1:25" ht="20.25">
      <c r="A229" s="23" t="s">
        <v>321</v>
      </c>
      <c r="B229" s="363"/>
      <c r="C229" s="364"/>
      <c r="D229" s="363"/>
      <c r="E229" s="363"/>
      <c r="F229" s="364"/>
      <c r="G229" s="363"/>
      <c r="H229" s="363"/>
      <c r="I229" s="365"/>
      <c r="J229" s="363"/>
      <c r="K229" s="364"/>
      <c r="L229" s="366"/>
      <c r="M229" s="366"/>
      <c r="N229" s="366"/>
      <c r="O229" s="366"/>
      <c r="P229" s="366"/>
      <c r="Q229" s="366"/>
      <c r="R229" s="366"/>
      <c r="S229" s="366"/>
      <c r="T229" s="366"/>
      <c r="U229" s="366"/>
      <c r="V229" s="367"/>
      <c r="W229" s="366"/>
      <c r="X229" s="366"/>
      <c r="Y229" s="368"/>
    </row>
    <row r="230" spans="1:25">
      <c r="A230" s="11">
        <v>1</v>
      </c>
      <c r="B230" s="30" t="s">
        <v>163</v>
      </c>
      <c r="C230" s="31"/>
      <c r="D230" s="30"/>
      <c r="E230" s="30"/>
      <c r="F230" s="31"/>
      <c r="G230" s="30"/>
      <c r="H230" s="30"/>
      <c r="I230" s="32"/>
      <c r="J230" s="30"/>
      <c r="K230" s="30"/>
      <c r="L230" s="98"/>
      <c r="M230" s="98"/>
      <c r="N230" s="98"/>
      <c r="O230" s="98"/>
      <c r="P230" s="98"/>
      <c r="Q230" s="98"/>
      <c r="R230" s="98"/>
      <c r="S230" s="98"/>
      <c r="T230" s="98"/>
      <c r="U230" s="98"/>
      <c r="V230" s="99" t="s">
        <v>186</v>
      </c>
      <c r="W230" s="98"/>
      <c r="X230" s="98"/>
      <c r="Y230" s="100"/>
    </row>
    <row r="231" spans="1:25">
      <c r="A231" s="101"/>
      <c r="B231" s="149">
        <v>1</v>
      </c>
      <c r="C231" s="36" t="s">
        <v>164</v>
      </c>
      <c r="D231" s="37"/>
      <c r="E231" s="37"/>
      <c r="F231" s="38"/>
      <c r="G231" s="37"/>
      <c r="H231" s="37"/>
      <c r="I231" s="39"/>
      <c r="J231" s="37"/>
      <c r="K231" s="37"/>
      <c r="L231" s="102"/>
      <c r="M231" s="102"/>
      <c r="N231" s="102"/>
      <c r="O231" s="102"/>
      <c r="P231" s="102"/>
      <c r="Q231" s="102"/>
      <c r="R231" s="102"/>
      <c r="S231" s="102"/>
      <c r="T231" s="102"/>
      <c r="U231" s="102"/>
      <c r="V231" s="103"/>
      <c r="W231" s="102"/>
      <c r="X231" s="102"/>
      <c r="Y231" s="104"/>
    </row>
    <row r="232" spans="1:25">
      <c r="A232" s="50"/>
      <c r="B232" s="101"/>
      <c r="C232" s="139"/>
      <c r="D232" s="138"/>
      <c r="E232" s="351">
        <v>1</v>
      </c>
      <c r="F232" s="108" t="s">
        <v>322</v>
      </c>
      <c r="G232" s="109"/>
      <c r="H232" s="109"/>
      <c r="I232" s="110"/>
      <c r="J232" s="109"/>
      <c r="K232" s="109"/>
      <c r="L232" s="111"/>
      <c r="M232" s="111"/>
      <c r="N232" s="111"/>
      <c r="O232" s="111"/>
      <c r="P232" s="111"/>
      <c r="Q232" s="111"/>
      <c r="R232" s="111"/>
      <c r="S232" s="111"/>
      <c r="T232" s="111"/>
      <c r="U232" s="111"/>
      <c r="V232" s="112"/>
      <c r="W232" s="111"/>
      <c r="X232" s="111"/>
      <c r="Y232" s="113"/>
    </row>
    <row r="233" spans="1:25" ht="55.5" customHeight="1">
      <c r="A233" s="50"/>
      <c r="B233" s="41"/>
      <c r="C233" s="54">
        <v>1</v>
      </c>
      <c r="D233" s="52" t="s">
        <v>323</v>
      </c>
      <c r="E233" s="150"/>
      <c r="F233" s="54">
        <v>1</v>
      </c>
      <c r="G233" s="52" t="s">
        <v>324</v>
      </c>
      <c r="H233" s="1095" t="s">
        <v>325</v>
      </c>
      <c r="I233" s="1076" t="s">
        <v>326</v>
      </c>
      <c r="J233" s="1077" t="s">
        <v>327</v>
      </c>
      <c r="K233" s="54" t="s">
        <v>30</v>
      </c>
      <c r="L233" s="57"/>
      <c r="M233" s="57"/>
      <c r="N233" s="57"/>
      <c r="O233" s="57"/>
      <c r="P233" s="57"/>
      <c r="Q233" s="57"/>
      <c r="R233" s="57"/>
      <c r="S233" s="57"/>
      <c r="T233" s="60"/>
      <c r="U233" s="60"/>
      <c r="V233" s="369">
        <v>20000000</v>
      </c>
      <c r="W233" s="60"/>
      <c r="X233" s="60"/>
      <c r="Y233" s="61">
        <f t="shared" ref="Y233:Y235" si="83">+L233+M233+N233+O233+P233+Q233+R233+S233+T233+U233+V233+W233+X233</f>
        <v>20000000</v>
      </c>
    </row>
    <row r="234" spans="1:25" ht="61.5" customHeight="1">
      <c r="A234" s="50"/>
      <c r="B234" s="41"/>
      <c r="C234" s="54">
        <v>1</v>
      </c>
      <c r="D234" s="52" t="s">
        <v>323</v>
      </c>
      <c r="E234" s="370"/>
      <c r="F234" s="54">
        <v>4</v>
      </c>
      <c r="G234" s="52" t="s">
        <v>328</v>
      </c>
      <c r="H234" s="1060"/>
      <c r="I234" s="1061"/>
      <c r="J234" s="1064"/>
      <c r="K234" s="54" t="s">
        <v>30</v>
      </c>
      <c r="L234" s="57"/>
      <c r="M234" s="57"/>
      <c r="N234" s="57"/>
      <c r="O234" s="57"/>
      <c r="P234" s="57"/>
      <c r="Q234" s="57"/>
      <c r="R234" s="57"/>
      <c r="S234" s="57"/>
      <c r="T234" s="60"/>
      <c r="U234" s="60"/>
      <c r="V234" s="369">
        <f>96000000-20000000</f>
        <v>76000000</v>
      </c>
      <c r="W234" s="60"/>
      <c r="X234" s="60"/>
      <c r="Y234" s="61">
        <f t="shared" si="83"/>
        <v>76000000</v>
      </c>
    </row>
    <row r="235" spans="1:25" s="361" customFormat="1" ht="69.75" customHeight="1">
      <c r="A235" s="50"/>
      <c r="B235" s="41"/>
      <c r="C235" s="54">
        <v>2</v>
      </c>
      <c r="D235" s="52" t="s">
        <v>329</v>
      </c>
      <c r="E235" s="371"/>
      <c r="F235" s="54">
        <v>6</v>
      </c>
      <c r="G235" s="52" t="s">
        <v>330</v>
      </c>
      <c r="H235" s="1096"/>
      <c r="I235" s="1079"/>
      <c r="J235" s="1080"/>
      <c r="K235" s="54" t="s">
        <v>30</v>
      </c>
      <c r="L235" s="57"/>
      <c r="M235" s="57"/>
      <c r="N235" s="57"/>
      <c r="O235" s="57"/>
      <c r="P235" s="57"/>
      <c r="Q235" s="57"/>
      <c r="R235" s="57"/>
      <c r="S235" s="57"/>
      <c r="T235" s="60"/>
      <c r="U235" s="60"/>
      <c r="V235" s="369">
        <v>20000000</v>
      </c>
      <c r="W235" s="60"/>
      <c r="X235" s="60"/>
      <c r="Y235" s="61">
        <f t="shared" si="83"/>
        <v>20000000</v>
      </c>
    </row>
    <row r="236" spans="1:25" ht="15">
      <c r="A236" s="50"/>
      <c r="B236" s="50"/>
      <c r="C236" s="51"/>
      <c r="D236" s="52"/>
      <c r="E236" s="64"/>
      <c r="F236" s="65"/>
      <c r="G236" s="64"/>
      <c r="H236" s="65"/>
      <c r="I236" s="67"/>
      <c r="J236" s="64"/>
      <c r="K236" s="65"/>
      <c r="L236" s="68"/>
      <c r="M236" s="68"/>
      <c r="N236" s="68"/>
      <c r="O236" s="68"/>
      <c r="P236" s="68"/>
      <c r="Q236" s="68"/>
      <c r="R236" s="68"/>
      <c r="S236" s="68"/>
      <c r="T236" s="68"/>
      <c r="U236" s="68"/>
      <c r="V236" s="68">
        <f>SUM(V233:V235)</f>
        <v>116000000</v>
      </c>
      <c r="W236" s="68">
        <f>SUM(W233:W235)</f>
        <v>0</v>
      </c>
      <c r="X236" s="68">
        <f>SUM(X233:X235)</f>
        <v>0</v>
      </c>
      <c r="Y236" s="68">
        <f>SUM(Y233:Y235)</f>
        <v>116000000</v>
      </c>
    </row>
    <row r="237" spans="1:25" ht="18.75" customHeight="1">
      <c r="A237" s="50"/>
      <c r="B237" s="50"/>
      <c r="C237" s="87"/>
      <c r="D237" s="86"/>
      <c r="E237" s="86"/>
      <c r="F237" s="87"/>
      <c r="G237" s="86"/>
      <c r="H237" s="87"/>
      <c r="I237" s="89"/>
      <c r="J237" s="86"/>
      <c r="K237" s="87"/>
      <c r="L237" s="90"/>
      <c r="M237" s="90"/>
      <c r="N237" s="90"/>
      <c r="O237" s="90"/>
      <c r="P237" s="90"/>
      <c r="Q237" s="90"/>
      <c r="R237" s="91"/>
      <c r="S237" s="91"/>
      <c r="T237" s="90"/>
      <c r="U237" s="90"/>
      <c r="V237" s="122"/>
      <c r="W237" s="90"/>
      <c r="X237" s="91"/>
      <c r="Y237" s="94"/>
    </row>
    <row r="238" spans="1:25" ht="23.25" customHeight="1">
      <c r="A238" s="50"/>
      <c r="B238" s="50"/>
      <c r="C238" s="51"/>
      <c r="D238" s="52"/>
      <c r="E238" s="243">
        <v>2</v>
      </c>
      <c r="F238" s="244" t="s">
        <v>165</v>
      </c>
      <c r="G238" s="109"/>
      <c r="H238" s="109"/>
      <c r="I238" s="110"/>
      <c r="J238" s="109"/>
      <c r="K238" s="109"/>
      <c r="L238" s="111"/>
      <c r="M238" s="111"/>
      <c r="N238" s="111"/>
      <c r="O238" s="111"/>
      <c r="P238" s="111"/>
      <c r="Q238" s="111"/>
      <c r="R238" s="111"/>
      <c r="S238" s="111"/>
      <c r="T238" s="111"/>
      <c r="U238" s="111"/>
      <c r="V238" s="112"/>
      <c r="W238" s="111"/>
      <c r="X238" s="111"/>
      <c r="Y238" s="113"/>
    </row>
    <row r="239" spans="1:25" ht="66" customHeight="1">
      <c r="A239" s="50"/>
      <c r="B239" s="50"/>
      <c r="C239" s="51">
        <v>2</v>
      </c>
      <c r="D239" s="52" t="s">
        <v>329</v>
      </c>
      <c r="E239" s="62"/>
      <c r="F239" s="54">
        <v>7</v>
      </c>
      <c r="G239" s="52" t="s">
        <v>331</v>
      </c>
      <c r="H239" s="204" t="s">
        <v>332</v>
      </c>
      <c r="I239" s="219" t="s">
        <v>333</v>
      </c>
      <c r="J239" s="204" t="s">
        <v>334</v>
      </c>
      <c r="K239" s="54" t="s">
        <v>30</v>
      </c>
      <c r="L239" s="57"/>
      <c r="M239" s="57"/>
      <c r="N239" s="57"/>
      <c r="O239" s="57"/>
      <c r="P239" s="57"/>
      <c r="Q239" s="57"/>
      <c r="R239" s="57"/>
      <c r="S239" s="57"/>
      <c r="T239" s="57"/>
      <c r="U239" s="372"/>
      <c r="V239" s="369">
        <v>130000000</v>
      </c>
      <c r="W239" s="60"/>
      <c r="X239" s="60"/>
      <c r="Y239" s="61">
        <f t="shared" ref="Y239" si="84">+L239+M239+N239+O239+P239+Q239+R239+S239+T239+U239+V239+W239+X239</f>
        <v>130000000</v>
      </c>
    </row>
    <row r="240" spans="1:25" ht="15">
      <c r="A240" s="50"/>
      <c r="B240" s="50"/>
      <c r="C240" s="51"/>
      <c r="D240" s="52"/>
      <c r="E240" s="64"/>
      <c r="F240" s="65"/>
      <c r="G240" s="64"/>
      <c r="H240" s="64"/>
      <c r="I240" s="67"/>
      <c r="J240" s="64"/>
      <c r="K240" s="65"/>
      <c r="L240" s="373"/>
      <c r="M240" s="373"/>
      <c r="N240" s="373"/>
      <c r="O240" s="373"/>
      <c r="P240" s="373"/>
      <c r="Q240" s="373"/>
      <c r="R240" s="373"/>
      <c r="S240" s="373"/>
      <c r="T240" s="373"/>
      <c r="U240" s="373"/>
      <c r="V240" s="374">
        <f>SUM(V239:V239)</f>
        <v>130000000</v>
      </c>
      <c r="W240" s="373">
        <f>SUM(W239:W239)</f>
        <v>0</v>
      </c>
      <c r="X240" s="373">
        <f>SUM(X239:X239)</f>
        <v>0</v>
      </c>
      <c r="Y240" s="373">
        <f>SUM(Y239:Y239)</f>
        <v>130000000</v>
      </c>
    </row>
    <row r="241" spans="1:25" ht="15">
      <c r="A241" s="50"/>
      <c r="B241" s="50"/>
      <c r="C241" s="87"/>
      <c r="D241" s="86"/>
      <c r="E241" s="86"/>
      <c r="F241" s="87"/>
      <c r="G241" s="86"/>
      <c r="H241" s="86"/>
      <c r="I241" s="89"/>
      <c r="J241" s="86"/>
      <c r="K241" s="87"/>
      <c r="L241" s="375"/>
      <c r="M241" s="375"/>
      <c r="N241" s="375"/>
      <c r="O241" s="375"/>
      <c r="P241" s="375"/>
      <c r="Q241" s="375"/>
      <c r="R241" s="376"/>
      <c r="S241" s="376"/>
      <c r="T241" s="375"/>
      <c r="U241" s="375"/>
      <c r="V241" s="377"/>
      <c r="W241" s="375"/>
      <c r="X241" s="376"/>
      <c r="Y241" s="94"/>
    </row>
    <row r="242" spans="1:25" ht="32.25" customHeight="1">
      <c r="A242" s="50"/>
      <c r="B242" s="50"/>
      <c r="C242" s="51"/>
      <c r="D242" s="52"/>
      <c r="E242" s="243">
        <v>3</v>
      </c>
      <c r="F242" s="244" t="s">
        <v>335</v>
      </c>
      <c r="G242" s="109"/>
      <c r="H242" s="109"/>
      <c r="I242" s="110"/>
      <c r="J242" s="109"/>
      <c r="K242" s="109"/>
      <c r="L242" s="111"/>
      <c r="M242" s="111"/>
      <c r="N242" s="111"/>
      <c r="O242" s="111"/>
      <c r="P242" s="111"/>
      <c r="Q242" s="111"/>
      <c r="R242" s="111"/>
      <c r="S242" s="111"/>
      <c r="T242" s="111"/>
      <c r="U242" s="111"/>
      <c r="V242" s="378"/>
      <c r="W242" s="111"/>
      <c r="X242" s="111"/>
      <c r="Y242" s="113"/>
    </row>
    <row r="243" spans="1:25" ht="114.75" customHeight="1">
      <c r="A243" s="50"/>
      <c r="B243" s="50"/>
      <c r="C243" s="256">
        <v>4</v>
      </c>
      <c r="D243" s="232" t="s">
        <v>336</v>
      </c>
      <c r="E243" s="136"/>
      <c r="F243" s="54">
        <v>14</v>
      </c>
      <c r="G243" s="52" t="s">
        <v>337</v>
      </c>
      <c r="H243" s="1095" t="s">
        <v>325</v>
      </c>
      <c r="I243" s="1101" t="s">
        <v>338</v>
      </c>
      <c r="J243" s="1077" t="s">
        <v>339</v>
      </c>
      <c r="K243" s="54" t="s">
        <v>30</v>
      </c>
      <c r="L243" s="57"/>
      <c r="M243" s="57"/>
      <c r="N243" s="57"/>
      <c r="O243" s="57"/>
      <c r="P243" s="57"/>
      <c r="Q243" s="57"/>
      <c r="R243" s="57"/>
      <c r="S243" s="57"/>
      <c r="T243" s="57"/>
      <c r="U243" s="57"/>
      <c r="V243" s="379">
        <v>128662000</v>
      </c>
      <c r="W243" s="60"/>
      <c r="X243" s="60"/>
      <c r="Y243" s="61">
        <f t="shared" ref="Y243:Y246" si="85">+L243+M243+N243+O243+P243+Q243+R243+S243+T243+U243+V243+W243+X243</f>
        <v>128662000</v>
      </c>
    </row>
    <row r="244" spans="1:25" ht="102" customHeight="1">
      <c r="A244" s="226"/>
      <c r="B244" s="226"/>
      <c r="C244" s="256">
        <v>4</v>
      </c>
      <c r="D244" s="232" t="s">
        <v>336</v>
      </c>
      <c r="E244" s="230"/>
      <c r="F244" s="380">
        <v>17</v>
      </c>
      <c r="G244" s="381" t="s">
        <v>340</v>
      </c>
      <c r="H244" s="1096"/>
      <c r="I244" s="1102"/>
      <c r="J244" s="1080"/>
      <c r="K244" s="234" t="s">
        <v>109</v>
      </c>
      <c r="L244" s="235"/>
      <c r="M244" s="235"/>
      <c r="N244" s="235"/>
      <c r="O244" s="235"/>
      <c r="P244" s="235"/>
      <c r="Q244" s="235"/>
      <c r="R244" s="235"/>
      <c r="S244" s="235"/>
      <c r="T244" s="235"/>
      <c r="U244" s="235"/>
      <c r="V244" s="382">
        <v>821316151</v>
      </c>
      <c r="W244" s="238"/>
      <c r="X244" s="238"/>
      <c r="Y244" s="61">
        <f t="shared" si="85"/>
        <v>821316151</v>
      </c>
    </row>
    <row r="245" spans="1:25" ht="78" customHeight="1">
      <c r="A245" s="226"/>
      <c r="B245" s="226"/>
      <c r="C245" s="256"/>
      <c r="D245" s="232"/>
      <c r="E245" s="230"/>
      <c r="F245" s="380">
        <v>18</v>
      </c>
      <c r="G245" s="381" t="s">
        <v>341</v>
      </c>
      <c r="H245" s="1097" t="s">
        <v>325</v>
      </c>
      <c r="I245" s="1103" t="s">
        <v>342</v>
      </c>
      <c r="J245" s="1097" t="s">
        <v>343</v>
      </c>
      <c r="K245" s="234" t="s">
        <v>109</v>
      </c>
      <c r="L245" s="235"/>
      <c r="M245" s="235"/>
      <c r="N245" s="235"/>
      <c r="O245" s="235"/>
      <c r="P245" s="235"/>
      <c r="Q245" s="235"/>
      <c r="R245" s="235"/>
      <c r="S245" s="235"/>
      <c r="T245" s="238"/>
      <c r="U245" s="238"/>
      <c r="V245" s="382">
        <v>50000000</v>
      </c>
      <c r="W245" s="238"/>
      <c r="X245" s="238"/>
      <c r="Y245" s="61">
        <f t="shared" si="85"/>
        <v>50000000</v>
      </c>
    </row>
    <row r="246" spans="1:25" ht="99" customHeight="1">
      <c r="A246" s="226"/>
      <c r="B246" s="226"/>
      <c r="C246" s="256">
        <v>4</v>
      </c>
      <c r="D246" s="232" t="s">
        <v>336</v>
      </c>
      <c r="E246" s="230"/>
      <c r="F246" s="234">
        <v>19</v>
      </c>
      <c r="G246" s="232" t="s">
        <v>344</v>
      </c>
      <c r="H246" s="1099"/>
      <c r="I246" s="1089"/>
      <c r="J246" s="1099"/>
      <c r="K246" s="234" t="s">
        <v>109</v>
      </c>
      <c r="L246" s="235"/>
      <c r="M246" s="235"/>
      <c r="N246" s="235"/>
      <c r="O246" s="235"/>
      <c r="P246" s="235"/>
      <c r="Q246" s="235"/>
      <c r="R246" s="235"/>
      <c r="S246" s="235"/>
      <c r="T246" s="238"/>
      <c r="U246" s="238"/>
      <c r="V246" s="382">
        <v>40000000</v>
      </c>
      <c r="W246" s="238"/>
      <c r="X246" s="238"/>
      <c r="Y246" s="61">
        <f t="shared" si="85"/>
        <v>40000000</v>
      </c>
    </row>
    <row r="247" spans="1:25" ht="20.25" customHeight="1">
      <c r="A247" s="50"/>
      <c r="B247" s="63"/>
      <c r="C247" s="51"/>
      <c r="D247" s="52"/>
      <c r="E247" s="64"/>
      <c r="F247" s="65"/>
      <c r="G247" s="64"/>
      <c r="H247" s="64"/>
      <c r="I247" s="67"/>
      <c r="J247" s="383"/>
      <c r="K247" s="65"/>
      <c r="L247" s="373"/>
      <c r="M247" s="373"/>
      <c r="N247" s="373"/>
      <c r="O247" s="373"/>
      <c r="P247" s="373"/>
      <c r="Q247" s="373"/>
      <c r="R247" s="373"/>
      <c r="S247" s="373"/>
      <c r="T247" s="373"/>
      <c r="U247" s="373"/>
      <c r="V247" s="384">
        <f>SUM(V243:V246)</f>
        <v>1039978151</v>
      </c>
      <c r="W247" s="373"/>
      <c r="X247" s="373"/>
      <c r="Y247" s="373">
        <f>SUM(Y243:Y246)</f>
        <v>1039978151</v>
      </c>
    </row>
    <row r="248" spans="1:25" ht="24" customHeight="1">
      <c r="A248" s="63"/>
      <c r="B248" s="70"/>
      <c r="C248" s="261"/>
      <c r="D248" s="70"/>
      <c r="E248" s="70"/>
      <c r="F248" s="71"/>
      <c r="G248" s="70"/>
      <c r="H248" s="70"/>
      <c r="I248" s="73"/>
      <c r="J248" s="70"/>
      <c r="K248" s="71"/>
      <c r="L248" s="385"/>
      <c r="M248" s="385"/>
      <c r="N248" s="385"/>
      <c r="O248" s="385"/>
      <c r="P248" s="385"/>
      <c r="Q248" s="385"/>
      <c r="R248" s="385"/>
      <c r="S248" s="385"/>
      <c r="T248" s="385"/>
      <c r="U248" s="385"/>
      <c r="V248" s="385">
        <f>V247+V240+V236</f>
        <v>1285978151</v>
      </c>
      <c r="W248" s="385"/>
      <c r="X248" s="385"/>
      <c r="Y248" s="385">
        <f>Y247+Y240+Y236</f>
        <v>1285978151</v>
      </c>
    </row>
    <row r="249" spans="1:25" ht="23.25" customHeight="1">
      <c r="A249" s="386"/>
      <c r="B249" s="386"/>
      <c r="C249" s="76"/>
      <c r="D249" s="387"/>
      <c r="E249" s="387"/>
      <c r="F249" s="76"/>
      <c r="G249" s="387"/>
      <c r="H249" s="387"/>
      <c r="I249" s="78"/>
      <c r="J249" s="387"/>
      <c r="K249" s="387"/>
      <c r="L249" s="388"/>
      <c r="M249" s="388"/>
      <c r="N249" s="388"/>
      <c r="O249" s="388"/>
      <c r="P249" s="388"/>
      <c r="Q249" s="388"/>
      <c r="R249" s="388"/>
      <c r="S249" s="388"/>
      <c r="T249" s="388"/>
      <c r="U249" s="388"/>
      <c r="V249" s="388">
        <f t="shared" ref="V249" si="86">V248</f>
        <v>1285978151</v>
      </c>
      <c r="W249" s="388"/>
      <c r="X249" s="388"/>
      <c r="Y249" s="388">
        <f t="shared" ref="Y249" si="87">Y248</f>
        <v>1285978151</v>
      </c>
    </row>
    <row r="250" spans="1:25" ht="15">
      <c r="A250" s="85"/>
      <c r="B250" s="86"/>
      <c r="C250" s="87"/>
      <c r="D250" s="86"/>
      <c r="E250" s="86"/>
      <c r="F250" s="87"/>
      <c r="G250" s="86"/>
      <c r="H250" s="86"/>
      <c r="I250" s="89"/>
      <c r="J250" s="86"/>
      <c r="K250" s="87"/>
      <c r="L250" s="375"/>
      <c r="M250" s="375"/>
      <c r="N250" s="375"/>
      <c r="O250" s="375"/>
      <c r="P250" s="375"/>
      <c r="Q250" s="375"/>
      <c r="R250" s="376"/>
      <c r="S250" s="376"/>
      <c r="T250" s="375"/>
      <c r="U250" s="375"/>
      <c r="V250" s="389"/>
      <c r="W250" s="375"/>
      <c r="X250" s="376"/>
      <c r="Y250" s="94"/>
    </row>
    <row r="251" spans="1:25">
      <c r="A251" s="11">
        <v>2</v>
      </c>
      <c r="B251" s="30" t="s">
        <v>141</v>
      </c>
      <c r="C251" s="31"/>
      <c r="D251" s="30"/>
      <c r="E251" s="30"/>
      <c r="F251" s="31"/>
      <c r="G251" s="30"/>
      <c r="H251" s="30"/>
      <c r="I251" s="32"/>
      <c r="J251" s="30"/>
      <c r="K251" s="30"/>
      <c r="L251" s="98"/>
      <c r="M251" s="98"/>
      <c r="N251" s="98"/>
      <c r="O251" s="98"/>
      <c r="P251" s="98"/>
      <c r="Q251" s="98"/>
      <c r="R251" s="98"/>
      <c r="S251" s="98"/>
      <c r="T251" s="98"/>
      <c r="U251" s="98"/>
      <c r="V251" s="99"/>
      <c r="W251" s="98"/>
      <c r="X251" s="98"/>
      <c r="Y251" s="100"/>
    </row>
    <row r="252" spans="1:25">
      <c r="A252" s="101"/>
      <c r="B252" s="198">
        <v>2</v>
      </c>
      <c r="C252" s="36" t="s">
        <v>289</v>
      </c>
      <c r="D252" s="37"/>
      <c r="E252" s="37"/>
      <c r="F252" s="38"/>
      <c r="G252" s="37"/>
      <c r="H252" s="37"/>
      <c r="I252" s="39"/>
      <c r="J252" s="37"/>
      <c r="K252" s="37"/>
      <c r="L252" s="102"/>
      <c r="M252" s="102"/>
      <c r="N252" s="102"/>
      <c r="O252" s="102"/>
      <c r="P252" s="102"/>
      <c r="Q252" s="102"/>
      <c r="R252" s="102"/>
      <c r="S252" s="102"/>
      <c r="T252" s="102"/>
      <c r="U252" s="102"/>
      <c r="V252" s="103"/>
      <c r="W252" s="102"/>
      <c r="X252" s="102"/>
      <c r="Y252" s="104"/>
    </row>
    <row r="253" spans="1:25" ht="23.25" customHeight="1">
      <c r="A253" s="50"/>
      <c r="B253" s="101"/>
      <c r="C253" s="87"/>
      <c r="D253" s="86"/>
      <c r="E253" s="351">
        <v>4</v>
      </c>
      <c r="F253" s="108" t="s">
        <v>345</v>
      </c>
      <c r="G253" s="109"/>
      <c r="H253" s="109"/>
      <c r="I253" s="110"/>
      <c r="J253" s="109"/>
      <c r="K253" s="109"/>
      <c r="L253" s="111"/>
      <c r="M253" s="111"/>
      <c r="N253" s="111"/>
      <c r="O253" s="111"/>
      <c r="P253" s="111"/>
      <c r="Q253" s="111"/>
      <c r="R253" s="111"/>
      <c r="S253" s="111"/>
      <c r="T253" s="111"/>
      <c r="U253" s="111"/>
      <c r="V253" s="112"/>
      <c r="W253" s="111"/>
      <c r="X253" s="111"/>
      <c r="Y253" s="113"/>
    </row>
    <row r="254" spans="1:25" ht="82.5" customHeight="1">
      <c r="A254" s="226"/>
      <c r="B254" s="226"/>
      <c r="C254" s="251">
        <v>5</v>
      </c>
      <c r="D254" s="213" t="s">
        <v>346</v>
      </c>
      <c r="E254" s="232"/>
      <c r="F254" s="234">
        <v>21</v>
      </c>
      <c r="G254" s="232" t="s">
        <v>347</v>
      </c>
      <c r="H254" s="1097" t="s">
        <v>121</v>
      </c>
      <c r="I254" s="1092" t="s">
        <v>348</v>
      </c>
      <c r="J254" s="1097" t="s">
        <v>349</v>
      </c>
      <c r="K254" s="234" t="s">
        <v>109</v>
      </c>
      <c r="L254" s="235"/>
      <c r="M254" s="235"/>
      <c r="N254" s="235"/>
      <c r="O254" s="235"/>
      <c r="P254" s="235"/>
      <c r="Q254" s="235"/>
      <c r="R254" s="235"/>
      <c r="S254" s="235"/>
      <c r="T254" s="238"/>
      <c r="U254" s="238"/>
      <c r="V254" s="237">
        <f>70000000-5000000</f>
        <v>65000000</v>
      </c>
      <c r="W254" s="238"/>
      <c r="X254" s="238"/>
      <c r="Y254" s="61">
        <f t="shared" ref="Y254:Y256" si="88">+L254+M254+N254+O254+P254+Q254+R254+S254+T254+U254+V254+W254+X254</f>
        <v>65000000</v>
      </c>
    </row>
    <row r="255" spans="1:25" ht="65.25" customHeight="1">
      <c r="A255" s="226"/>
      <c r="B255" s="226"/>
      <c r="C255" s="346">
        <v>7</v>
      </c>
      <c r="D255" s="347" t="s">
        <v>350</v>
      </c>
      <c r="E255" s="232"/>
      <c r="F255" s="256">
        <v>23</v>
      </c>
      <c r="G255" s="232" t="s">
        <v>351</v>
      </c>
      <c r="H255" s="1098"/>
      <c r="I255" s="1100"/>
      <c r="J255" s="1098"/>
      <c r="K255" s="234" t="s">
        <v>30</v>
      </c>
      <c r="L255" s="235"/>
      <c r="M255" s="235"/>
      <c r="N255" s="235"/>
      <c r="O255" s="235"/>
      <c r="P255" s="235"/>
      <c r="Q255" s="235"/>
      <c r="R255" s="235"/>
      <c r="S255" s="235"/>
      <c r="T255" s="238"/>
      <c r="U255" s="238"/>
      <c r="V255" s="237">
        <f>70000000-5000000</f>
        <v>65000000</v>
      </c>
      <c r="W255" s="238"/>
      <c r="X255" s="238"/>
      <c r="Y255" s="61">
        <f t="shared" si="88"/>
        <v>65000000</v>
      </c>
    </row>
    <row r="256" spans="1:25" ht="68.25" customHeight="1">
      <c r="A256" s="226"/>
      <c r="B256" s="226"/>
      <c r="C256" s="346">
        <v>7</v>
      </c>
      <c r="D256" s="347" t="s">
        <v>350</v>
      </c>
      <c r="E256" s="232"/>
      <c r="F256" s="256">
        <v>24</v>
      </c>
      <c r="G256" s="232" t="s">
        <v>352</v>
      </c>
      <c r="H256" s="1099"/>
      <c r="I256" s="1093"/>
      <c r="J256" s="1099"/>
      <c r="K256" s="234" t="s">
        <v>30</v>
      </c>
      <c r="L256" s="235"/>
      <c r="M256" s="235"/>
      <c r="N256" s="235"/>
      <c r="O256" s="235"/>
      <c r="P256" s="235"/>
      <c r="Q256" s="235"/>
      <c r="R256" s="235"/>
      <c r="S256" s="235"/>
      <c r="T256" s="238"/>
      <c r="U256" s="238"/>
      <c r="V256" s="237">
        <f>180000000+10000000+45000000</f>
        <v>235000000</v>
      </c>
      <c r="W256" s="238"/>
      <c r="X256" s="238"/>
      <c r="Y256" s="61">
        <f t="shared" si="88"/>
        <v>235000000</v>
      </c>
    </row>
    <row r="257" spans="1:25" ht="21" customHeight="1">
      <c r="A257" s="50"/>
      <c r="B257" s="50"/>
      <c r="C257" s="51"/>
      <c r="D257" s="52"/>
      <c r="E257" s="390"/>
      <c r="F257" s="390"/>
      <c r="G257" s="390"/>
      <c r="H257" s="390"/>
      <c r="I257" s="390"/>
      <c r="J257" s="390"/>
      <c r="K257" s="390"/>
      <c r="L257" s="390"/>
      <c r="M257" s="390"/>
      <c r="N257" s="390"/>
      <c r="O257" s="390"/>
      <c r="P257" s="390"/>
      <c r="Q257" s="390"/>
      <c r="R257" s="390"/>
      <c r="S257" s="390"/>
      <c r="T257" s="390"/>
      <c r="U257" s="390"/>
      <c r="V257" s="390">
        <f>SUM(V254:V256)</f>
        <v>365000000</v>
      </c>
      <c r="W257" s="390">
        <f>SUM(W254:W256)</f>
        <v>0</v>
      </c>
      <c r="X257" s="390">
        <f>SUM(X254:X256)</f>
        <v>0</v>
      </c>
      <c r="Y257" s="390">
        <f>SUM(Y254:Y256)</f>
        <v>365000000</v>
      </c>
    </row>
    <row r="258" spans="1:25" ht="21" customHeight="1">
      <c r="A258" s="50"/>
      <c r="B258" s="50"/>
      <c r="C258" s="51"/>
      <c r="D258" s="52"/>
      <c r="E258" s="204"/>
      <c r="F258" s="187"/>
      <c r="G258" s="52"/>
      <c r="H258" s="203"/>
      <c r="I258" s="219"/>
      <c r="J258" s="203"/>
      <c r="K258" s="54"/>
      <c r="L258" s="57"/>
      <c r="M258" s="57"/>
      <c r="N258" s="57"/>
      <c r="O258" s="57"/>
      <c r="P258" s="57"/>
      <c r="Q258" s="57"/>
      <c r="R258" s="57"/>
      <c r="S258" s="57"/>
      <c r="T258" s="60"/>
      <c r="U258" s="60"/>
      <c r="V258" s="241"/>
      <c r="W258" s="60"/>
      <c r="X258" s="60"/>
      <c r="Y258" s="94"/>
    </row>
    <row r="259" spans="1:25" ht="20.25" customHeight="1">
      <c r="A259" s="50"/>
      <c r="B259" s="50"/>
      <c r="C259" s="51"/>
      <c r="D259" s="52"/>
      <c r="E259" s="351">
        <v>5</v>
      </c>
      <c r="F259" s="108" t="s">
        <v>353</v>
      </c>
      <c r="G259" s="109"/>
      <c r="H259" s="109"/>
      <c r="I259" s="110"/>
      <c r="J259" s="109"/>
      <c r="K259" s="109"/>
      <c r="L259" s="111"/>
      <c r="M259" s="111"/>
      <c r="N259" s="111"/>
      <c r="O259" s="111"/>
      <c r="P259" s="111"/>
      <c r="Q259" s="111"/>
      <c r="R259" s="111"/>
      <c r="S259" s="111"/>
      <c r="T259" s="111"/>
      <c r="U259" s="111"/>
      <c r="V259" s="112"/>
      <c r="W259" s="111"/>
      <c r="X259" s="111"/>
      <c r="Y259" s="113"/>
    </row>
    <row r="260" spans="1:25" ht="72" customHeight="1">
      <c r="A260" s="50"/>
      <c r="B260" s="50"/>
      <c r="C260" s="251">
        <v>5</v>
      </c>
      <c r="D260" s="213" t="s">
        <v>354</v>
      </c>
      <c r="E260" s="391"/>
      <c r="F260" s="54">
        <v>25</v>
      </c>
      <c r="G260" s="52" t="s">
        <v>355</v>
      </c>
      <c r="H260" s="1095" t="s">
        <v>121</v>
      </c>
      <c r="I260" s="1076" t="s">
        <v>356</v>
      </c>
      <c r="J260" s="1095" t="s">
        <v>357</v>
      </c>
      <c r="K260" s="54" t="s">
        <v>109</v>
      </c>
      <c r="L260" s="57"/>
      <c r="M260" s="57"/>
      <c r="N260" s="57"/>
      <c r="O260" s="57"/>
      <c r="P260" s="57"/>
      <c r="Q260" s="57"/>
      <c r="R260" s="57"/>
      <c r="S260" s="57"/>
      <c r="T260" s="60"/>
      <c r="U260" s="60"/>
      <c r="V260" s="59">
        <v>238000000</v>
      </c>
      <c r="W260" s="60"/>
      <c r="X260" s="60"/>
      <c r="Y260" s="61">
        <f>+L260+M260+N260+O260+P260+Q260+R260+S260+T260+U260+V260+W260+X260</f>
        <v>238000000</v>
      </c>
    </row>
    <row r="261" spans="1:25" ht="79.5" customHeight="1">
      <c r="A261" s="210"/>
      <c r="B261" s="210"/>
      <c r="C261" s="251">
        <v>6</v>
      </c>
      <c r="D261" s="213" t="s">
        <v>358</v>
      </c>
      <c r="E261" s="392"/>
      <c r="F261" s="162">
        <v>27</v>
      </c>
      <c r="G261" s="213" t="s">
        <v>359</v>
      </c>
      <c r="H261" s="1060"/>
      <c r="I261" s="1061"/>
      <c r="J261" s="1060"/>
      <c r="K261" s="162" t="s">
        <v>109</v>
      </c>
      <c r="L261" s="240"/>
      <c r="M261" s="240"/>
      <c r="N261" s="240"/>
      <c r="O261" s="240"/>
      <c r="P261" s="240"/>
      <c r="Q261" s="240"/>
      <c r="R261" s="240"/>
      <c r="S261" s="240"/>
      <c r="T261" s="217"/>
      <c r="U261" s="217"/>
      <c r="V261" s="216">
        <v>300000000</v>
      </c>
      <c r="W261" s="217"/>
      <c r="X261" s="217"/>
      <c r="Y261" s="61">
        <f t="shared" ref="Y261:Y263" si="89">+L261+M261+N261+O261+P261+Q261+R261+S261+T261+U261+V261+W261+X261</f>
        <v>300000000</v>
      </c>
    </row>
    <row r="262" spans="1:25" ht="60.75" customHeight="1">
      <c r="A262" s="50"/>
      <c r="B262" s="50"/>
      <c r="C262" s="346">
        <v>7</v>
      </c>
      <c r="D262" s="347" t="s">
        <v>350</v>
      </c>
      <c r="E262" s="393"/>
      <c r="F262" s="139">
        <v>28</v>
      </c>
      <c r="G262" s="138" t="s">
        <v>360</v>
      </c>
      <c r="H262" s="1060"/>
      <c r="I262" s="1061"/>
      <c r="J262" s="1060"/>
      <c r="K262" s="139" t="s">
        <v>109</v>
      </c>
      <c r="L262" s="353"/>
      <c r="M262" s="353"/>
      <c r="N262" s="353"/>
      <c r="O262" s="353"/>
      <c r="P262" s="353"/>
      <c r="Q262" s="353"/>
      <c r="R262" s="353"/>
      <c r="S262" s="353"/>
      <c r="T262" s="394"/>
      <c r="U262" s="394"/>
      <c r="V262" s="395">
        <v>35000000</v>
      </c>
      <c r="W262" s="394"/>
      <c r="X262" s="394"/>
      <c r="Y262" s="396">
        <f t="shared" si="89"/>
        <v>35000000</v>
      </c>
    </row>
    <row r="263" spans="1:25" ht="144" customHeight="1">
      <c r="A263" s="50"/>
      <c r="B263" s="50"/>
      <c r="C263" s="256" t="s">
        <v>361</v>
      </c>
      <c r="D263" s="232" t="s">
        <v>362</v>
      </c>
      <c r="E263" s="234" t="s">
        <v>186</v>
      </c>
      <c r="F263" s="234">
        <v>30</v>
      </c>
      <c r="G263" s="232" t="s">
        <v>363</v>
      </c>
      <c r="H263" s="54" t="s">
        <v>121</v>
      </c>
      <c r="I263" s="257" t="s">
        <v>364</v>
      </c>
      <c r="J263" s="232" t="s">
        <v>365</v>
      </c>
      <c r="K263" s="234" t="s">
        <v>30</v>
      </c>
      <c r="L263" s="57"/>
      <c r="M263" s="57"/>
      <c r="N263" s="57"/>
      <c r="O263" s="57"/>
      <c r="P263" s="57"/>
      <c r="Q263" s="57"/>
      <c r="R263" s="57"/>
      <c r="S263" s="57"/>
      <c r="T263" s="57"/>
      <c r="U263" s="57"/>
      <c r="V263" s="216">
        <v>36364849</v>
      </c>
      <c r="W263" s="57"/>
      <c r="X263" s="57"/>
      <c r="Y263" s="396">
        <f t="shared" si="89"/>
        <v>36364849</v>
      </c>
    </row>
    <row r="264" spans="1:25" ht="24.75" customHeight="1">
      <c r="A264" s="50"/>
      <c r="B264" s="50"/>
      <c r="C264" s="87"/>
      <c r="D264" s="86"/>
      <c r="E264" s="351"/>
      <c r="F264" s="397"/>
      <c r="G264" s="398"/>
      <c r="H264" s="399"/>
      <c r="I264" s="400"/>
      <c r="J264" s="398"/>
      <c r="K264" s="399"/>
      <c r="L264" s="401"/>
      <c r="M264" s="401"/>
      <c r="N264" s="401"/>
      <c r="O264" s="401"/>
      <c r="P264" s="401"/>
      <c r="Q264" s="401"/>
      <c r="R264" s="401"/>
      <c r="S264" s="401"/>
      <c r="T264" s="401"/>
      <c r="U264" s="401"/>
      <c r="V264" s="401">
        <f>SUM(V260:V263)</f>
        <v>609364849</v>
      </c>
      <c r="W264" s="401">
        <f t="shared" ref="W264:Y264" si="90">SUM(W260:W263)</f>
        <v>0</v>
      </c>
      <c r="X264" s="401">
        <f t="shared" si="90"/>
        <v>0</v>
      </c>
      <c r="Y264" s="401">
        <f t="shared" si="90"/>
        <v>609364849</v>
      </c>
    </row>
    <row r="265" spans="1:25" ht="15">
      <c r="A265" s="50"/>
      <c r="B265" s="50"/>
      <c r="C265" s="87"/>
      <c r="D265" s="86"/>
      <c r="E265" s="402"/>
      <c r="F265" s="200"/>
      <c r="G265" s="86"/>
      <c r="H265" s="87"/>
      <c r="I265" s="89"/>
      <c r="J265" s="86"/>
      <c r="K265" s="87"/>
      <c r="L265" s="90"/>
      <c r="M265" s="90"/>
      <c r="N265" s="90"/>
      <c r="O265" s="90"/>
      <c r="P265" s="90"/>
      <c r="Q265" s="90"/>
      <c r="R265" s="90"/>
      <c r="S265" s="90"/>
      <c r="T265" s="90"/>
      <c r="U265" s="90"/>
      <c r="V265" s="122"/>
      <c r="W265" s="90"/>
      <c r="X265" s="91"/>
      <c r="Y265" s="94"/>
    </row>
    <row r="266" spans="1:25" ht="26.25" customHeight="1">
      <c r="A266" s="50"/>
      <c r="B266" s="50"/>
      <c r="C266" s="51"/>
      <c r="D266" s="52"/>
      <c r="E266" s="243">
        <v>6</v>
      </c>
      <c r="F266" s="244" t="s">
        <v>366</v>
      </c>
      <c r="G266" s="109"/>
      <c r="H266" s="109"/>
      <c r="I266" s="110"/>
      <c r="J266" s="109"/>
      <c r="K266" s="109"/>
      <c r="L266" s="111"/>
      <c r="M266" s="111"/>
      <c r="N266" s="111"/>
      <c r="O266" s="111"/>
      <c r="P266" s="111"/>
      <c r="Q266" s="111"/>
      <c r="R266" s="111"/>
      <c r="S266" s="111"/>
      <c r="T266" s="111"/>
      <c r="U266" s="111"/>
      <c r="V266" s="112"/>
      <c r="W266" s="111"/>
      <c r="X266" s="111"/>
      <c r="Y266" s="113"/>
    </row>
    <row r="267" spans="1:25" ht="66" customHeight="1">
      <c r="A267" s="226"/>
      <c r="B267" s="226"/>
      <c r="C267" s="293">
        <v>5</v>
      </c>
      <c r="D267" s="229" t="s">
        <v>367</v>
      </c>
      <c r="E267" s="403"/>
      <c r="F267" s="404">
        <v>31</v>
      </c>
      <c r="G267" s="232" t="s">
        <v>368</v>
      </c>
      <c r="H267" s="229" t="s">
        <v>121</v>
      </c>
      <c r="I267" s="405" t="s">
        <v>369</v>
      </c>
      <c r="J267" s="229" t="s">
        <v>370</v>
      </c>
      <c r="K267" s="234" t="s">
        <v>30</v>
      </c>
      <c r="L267" s="235"/>
      <c r="M267" s="235"/>
      <c r="N267" s="235"/>
      <c r="O267" s="235"/>
      <c r="P267" s="235"/>
      <c r="Q267" s="235"/>
      <c r="R267" s="235"/>
      <c r="S267" s="235"/>
      <c r="T267" s="235"/>
      <c r="U267" s="235"/>
      <c r="V267" s="237">
        <f>165000000-20000000+250000000</f>
        <v>395000000</v>
      </c>
      <c r="W267" s="238"/>
      <c r="X267" s="238"/>
      <c r="Y267" s="61">
        <f>+L267+M267+N267+O267+P267+Q267+R267+S267+T267+U267+V267+W267+X267</f>
        <v>395000000</v>
      </c>
    </row>
    <row r="268" spans="1:25" ht="26.25" customHeight="1">
      <c r="A268" s="50"/>
      <c r="B268" s="50"/>
      <c r="C268" s="1109"/>
      <c r="D268" s="1109"/>
      <c r="E268" s="319"/>
      <c r="F268" s="66"/>
      <c r="G268" s="319"/>
      <c r="H268" s="319"/>
      <c r="I268" s="406"/>
      <c r="J268" s="319"/>
      <c r="K268" s="66"/>
      <c r="L268" s="407"/>
      <c r="M268" s="407"/>
      <c r="N268" s="407"/>
      <c r="O268" s="407"/>
      <c r="P268" s="407"/>
      <c r="Q268" s="407"/>
      <c r="R268" s="407"/>
      <c r="S268" s="407"/>
      <c r="T268" s="407"/>
      <c r="U268" s="407"/>
      <c r="V268" s="407">
        <f>SUM(V267:V267)</f>
        <v>395000000</v>
      </c>
      <c r="W268" s="407">
        <f>SUM(W267:W267)</f>
        <v>0</v>
      </c>
      <c r="X268" s="407">
        <f>SUM(X267:X267)</f>
        <v>0</v>
      </c>
      <c r="Y268" s="407">
        <f>SUM(Y267:Y267)</f>
        <v>395000000</v>
      </c>
    </row>
    <row r="269" spans="1:25" ht="15">
      <c r="A269" s="50"/>
      <c r="B269" s="50"/>
      <c r="C269" s="87"/>
      <c r="D269" s="87"/>
      <c r="E269" s="135"/>
      <c r="F269" s="88"/>
      <c r="G269" s="135"/>
      <c r="H269" s="135"/>
      <c r="I269" s="408"/>
      <c r="J269" s="135"/>
      <c r="K269" s="88"/>
      <c r="L269" s="409"/>
      <c r="M269" s="409"/>
      <c r="N269" s="409"/>
      <c r="O269" s="409"/>
      <c r="P269" s="409"/>
      <c r="Q269" s="409"/>
      <c r="R269" s="409"/>
      <c r="S269" s="409"/>
      <c r="T269" s="409"/>
      <c r="U269" s="409"/>
      <c r="V269" s="122"/>
      <c r="W269" s="409"/>
      <c r="X269" s="410"/>
      <c r="Y269" s="411" t="s">
        <v>186</v>
      </c>
    </row>
    <row r="270" spans="1:25" ht="24.75" customHeight="1">
      <c r="A270" s="50"/>
      <c r="B270" s="50"/>
      <c r="C270" s="87"/>
      <c r="D270" s="87"/>
      <c r="E270" s="412">
        <v>7</v>
      </c>
      <c r="F270" s="244" t="s">
        <v>371</v>
      </c>
      <c r="G270" s="109"/>
      <c r="H270" s="109"/>
      <c r="I270" s="110"/>
      <c r="J270" s="109"/>
      <c r="K270" s="109"/>
      <c r="L270" s="111"/>
      <c r="M270" s="111"/>
      <c r="N270" s="111"/>
      <c r="O270" s="111"/>
      <c r="P270" s="111"/>
      <c r="Q270" s="111"/>
      <c r="R270" s="111"/>
      <c r="S270" s="111"/>
      <c r="T270" s="111"/>
      <c r="U270" s="111"/>
      <c r="V270" s="112"/>
      <c r="W270" s="111"/>
      <c r="X270" s="111"/>
      <c r="Y270" s="113"/>
    </row>
    <row r="271" spans="1:25" ht="61.5" customHeight="1">
      <c r="A271" s="50"/>
      <c r="B271" s="50"/>
      <c r="C271" s="251">
        <v>5</v>
      </c>
      <c r="D271" s="213" t="s">
        <v>346</v>
      </c>
      <c r="E271" s="53"/>
      <c r="F271" s="54">
        <v>35</v>
      </c>
      <c r="G271" s="52" t="s">
        <v>372</v>
      </c>
      <c r="H271" s="1095" t="s">
        <v>121</v>
      </c>
      <c r="I271" s="1076" t="s">
        <v>373</v>
      </c>
      <c r="J271" s="1077" t="s">
        <v>374</v>
      </c>
      <c r="K271" s="54" t="s">
        <v>30</v>
      </c>
      <c r="L271" s="57"/>
      <c r="M271" s="57"/>
      <c r="N271" s="57"/>
      <c r="O271" s="57"/>
      <c r="P271" s="57"/>
      <c r="Q271" s="57"/>
      <c r="R271" s="57"/>
      <c r="S271" s="57"/>
      <c r="T271" s="57"/>
      <c r="U271" s="57"/>
      <c r="V271" s="413">
        <v>50000000</v>
      </c>
      <c r="W271" s="60"/>
      <c r="X271" s="60"/>
      <c r="Y271" s="61">
        <f t="shared" ref="Y271:Y272" si="91">+L271+M271+N271+O271+P271+Q271+R271+S271+T271+U271+V271+W271+X271</f>
        <v>50000000</v>
      </c>
    </row>
    <row r="272" spans="1:25" ht="66" customHeight="1">
      <c r="A272" s="50"/>
      <c r="B272" s="50"/>
      <c r="C272" s="256">
        <v>7</v>
      </c>
      <c r="D272" s="52" t="s">
        <v>375</v>
      </c>
      <c r="E272" s="62"/>
      <c r="F272" s="54">
        <v>37</v>
      </c>
      <c r="G272" s="52" t="s">
        <v>376</v>
      </c>
      <c r="H272" s="1096"/>
      <c r="I272" s="1079"/>
      <c r="J272" s="1080"/>
      <c r="K272" s="54" t="s">
        <v>30</v>
      </c>
      <c r="L272" s="57"/>
      <c r="M272" s="57"/>
      <c r="N272" s="57"/>
      <c r="O272" s="57"/>
      <c r="P272" s="57"/>
      <c r="Q272" s="57"/>
      <c r="R272" s="57"/>
      <c r="S272" s="57"/>
      <c r="T272" s="57"/>
      <c r="U272" s="57"/>
      <c r="V272" s="414">
        <v>128000000</v>
      </c>
      <c r="W272" s="60"/>
      <c r="X272" s="60"/>
      <c r="Y272" s="61">
        <f t="shared" si="91"/>
        <v>128000000</v>
      </c>
    </row>
    <row r="273" spans="1:25" ht="26.25" customHeight="1">
      <c r="A273" s="50"/>
      <c r="B273" s="63"/>
      <c r="C273" s="51"/>
      <c r="D273" s="52"/>
      <c r="E273" s="64"/>
      <c r="F273" s="65"/>
      <c r="G273" s="64"/>
      <c r="H273" s="65"/>
      <c r="I273" s="67"/>
      <c r="J273" s="64"/>
      <c r="K273" s="65"/>
      <c r="L273" s="68"/>
      <c r="M273" s="68"/>
      <c r="N273" s="68"/>
      <c r="O273" s="68"/>
      <c r="P273" s="68"/>
      <c r="Q273" s="68"/>
      <c r="R273" s="68"/>
      <c r="S273" s="68"/>
      <c r="T273" s="68"/>
      <c r="U273" s="68"/>
      <c r="V273" s="68">
        <f t="shared" ref="V273:Y273" si="92">SUM(V271:V272)</f>
        <v>178000000</v>
      </c>
      <c r="W273" s="68">
        <f t="shared" si="92"/>
        <v>0</v>
      </c>
      <c r="X273" s="68">
        <f t="shared" si="92"/>
        <v>0</v>
      </c>
      <c r="Y273" s="68">
        <f t="shared" si="92"/>
        <v>178000000</v>
      </c>
    </row>
    <row r="274" spans="1:25" ht="24" customHeight="1">
      <c r="A274" s="50"/>
      <c r="B274" s="415"/>
      <c r="C274" s="145"/>
      <c r="D274" s="144"/>
      <c r="E274" s="144"/>
      <c r="F274" s="145"/>
      <c r="G274" s="144"/>
      <c r="H274" s="145"/>
      <c r="I274" s="416"/>
      <c r="J274" s="144"/>
      <c r="K274" s="145"/>
      <c r="L274" s="417"/>
      <c r="M274" s="417"/>
      <c r="N274" s="417"/>
      <c r="O274" s="417"/>
      <c r="P274" s="417"/>
      <c r="Q274" s="417"/>
      <c r="R274" s="417"/>
      <c r="S274" s="417"/>
      <c r="T274" s="417"/>
      <c r="U274" s="417"/>
      <c r="V274" s="417">
        <f>V273+V268+V264+V257</f>
        <v>1547364849</v>
      </c>
      <c r="W274" s="417">
        <f>W273+W268+W264+W257</f>
        <v>0</v>
      </c>
      <c r="X274" s="417">
        <f>X273+X268+X264+X257</f>
        <v>0</v>
      </c>
      <c r="Y274" s="417">
        <f>Y273+Y268+Y264+Y257</f>
        <v>1547364849</v>
      </c>
    </row>
    <row r="275" spans="1:25" s="29" customFormat="1" ht="29.25" customHeight="1">
      <c r="A275" s="75"/>
      <c r="B275" s="75"/>
      <c r="C275" s="76"/>
      <c r="D275" s="75"/>
      <c r="E275" s="75"/>
      <c r="F275" s="76"/>
      <c r="G275" s="75"/>
      <c r="H275" s="76"/>
      <c r="I275" s="78"/>
      <c r="J275" s="75"/>
      <c r="K275" s="76"/>
      <c r="L275" s="79"/>
      <c r="M275" s="79"/>
      <c r="N275" s="79"/>
      <c r="O275" s="79"/>
      <c r="P275" s="79"/>
      <c r="Q275" s="79"/>
      <c r="R275" s="79"/>
      <c r="S275" s="79"/>
      <c r="T275" s="79"/>
      <c r="U275" s="79"/>
      <c r="V275" s="79">
        <f t="shared" ref="V275:Y275" si="93">V274</f>
        <v>1547364849</v>
      </c>
      <c r="W275" s="79">
        <f t="shared" si="93"/>
        <v>0</v>
      </c>
      <c r="X275" s="79">
        <f t="shared" si="93"/>
        <v>0</v>
      </c>
      <c r="Y275" s="79">
        <f t="shared" si="93"/>
        <v>1547364849</v>
      </c>
    </row>
    <row r="276" spans="1:25" s="29" customFormat="1" ht="20.25">
      <c r="A276" s="418"/>
      <c r="B276" s="313"/>
      <c r="C276" s="187"/>
      <c r="D276" s="313"/>
      <c r="E276" s="313"/>
      <c r="F276" s="187"/>
      <c r="G276" s="313"/>
      <c r="H276" s="187"/>
      <c r="I276" s="186"/>
      <c r="J276" s="183"/>
      <c r="K276" s="187"/>
      <c r="L276" s="289"/>
      <c r="M276" s="289"/>
      <c r="N276" s="289"/>
      <c r="O276" s="289"/>
      <c r="P276" s="289"/>
      <c r="Q276" s="289"/>
      <c r="R276" s="289"/>
      <c r="S276" s="289"/>
      <c r="T276" s="289"/>
      <c r="U276" s="289"/>
      <c r="V276" s="290"/>
      <c r="W276" s="289"/>
      <c r="X276" s="316"/>
      <c r="Y276" s="190"/>
    </row>
    <row r="277" spans="1:25" s="29" customFormat="1" ht="20.25">
      <c r="A277" s="11">
        <v>3</v>
      </c>
      <c r="B277" s="30" t="s">
        <v>377</v>
      </c>
      <c r="C277" s="31"/>
      <c r="D277" s="30"/>
      <c r="E277" s="30"/>
      <c r="F277" s="31"/>
      <c r="G277" s="30"/>
      <c r="H277" s="30"/>
      <c r="I277" s="32"/>
      <c r="J277" s="30"/>
      <c r="K277" s="30"/>
      <c r="L277" s="98"/>
      <c r="M277" s="98"/>
      <c r="N277" s="98"/>
      <c r="O277" s="98"/>
      <c r="P277" s="98"/>
      <c r="Q277" s="98"/>
      <c r="R277" s="98"/>
      <c r="S277" s="98"/>
      <c r="T277" s="98"/>
      <c r="U277" s="98"/>
      <c r="V277" s="99"/>
      <c r="W277" s="98"/>
      <c r="X277" s="98"/>
      <c r="Y277" s="100"/>
    </row>
    <row r="278" spans="1:25" s="29" customFormat="1" ht="20.25">
      <c r="A278" s="101"/>
      <c r="B278" s="198">
        <v>11</v>
      </c>
      <c r="C278" s="36" t="s">
        <v>378</v>
      </c>
      <c r="D278" s="37"/>
      <c r="E278" s="37"/>
      <c r="F278" s="38"/>
      <c r="G278" s="37"/>
      <c r="H278" s="37"/>
      <c r="I278" s="39"/>
      <c r="J278" s="37"/>
      <c r="K278" s="37"/>
      <c r="L278" s="102"/>
      <c r="M278" s="102"/>
      <c r="N278" s="102"/>
      <c r="O278" s="102"/>
      <c r="P278" s="102"/>
      <c r="Q278" s="102"/>
      <c r="R278" s="102"/>
      <c r="S278" s="102"/>
      <c r="T278" s="102"/>
      <c r="U278" s="102"/>
      <c r="V278" s="103"/>
      <c r="W278" s="102"/>
      <c r="X278" s="102"/>
      <c r="Y278" s="104"/>
    </row>
    <row r="279" spans="1:25" s="29" customFormat="1" ht="20.25">
      <c r="A279" s="50"/>
      <c r="B279" s="419"/>
      <c r="C279" s="87"/>
      <c r="D279" s="86"/>
      <c r="E279" s="351">
        <v>34</v>
      </c>
      <c r="F279" s="108" t="s">
        <v>379</v>
      </c>
      <c r="G279" s="109"/>
      <c r="H279" s="109"/>
      <c r="I279" s="110"/>
      <c r="J279" s="109"/>
      <c r="K279" s="109"/>
      <c r="L279" s="111"/>
      <c r="M279" s="111"/>
      <c r="N279" s="111"/>
      <c r="O279" s="111"/>
      <c r="P279" s="111"/>
      <c r="Q279" s="111"/>
      <c r="R279" s="111"/>
      <c r="S279" s="111"/>
      <c r="T279" s="111"/>
      <c r="U279" s="111"/>
      <c r="V279" s="112"/>
      <c r="W279" s="111"/>
      <c r="X279" s="111"/>
      <c r="Y279" s="113"/>
    </row>
    <row r="280" spans="1:25" ht="75" customHeight="1">
      <c r="A280" s="226"/>
      <c r="B280" s="420"/>
      <c r="C280" s="275">
        <v>23</v>
      </c>
      <c r="D280" s="421" t="s">
        <v>380</v>
      </c>
      <c r="E280" s="230"/>
      <c r="F280" s="234">
        <v>123</v>
      </c>
      <c r="G280" s="232" t="s">
        <v>381</v>
      </c>
      <c r="H280" s="1098" t="s">
        <v>382</v>
      </c>
      <c r="I280" s="1100" t="s">
        <v>383</v>
      </c>
      <c r="J280" s="1090" t="s">
        <v>384</v>
      </c>
      <c r="K280" s="422" t="s">
        <v>30</v>
      </c>
      <c r="L280" s="423"/>
      <c r="M280" s="423"/>
      <c r="N280" s="423"/>
      <c r="O280" s="423"/>
      <c r="P280" s="423"/>
      <c r="Q280" s="423"/>
      <c r="R280" s="423"/>
      <c r="S280" s="423"/>
      <c r="T280" s="424"/>
      <c r="U280" s="424"/>
      <c r="V280" s="425">
        <f>20000000</f>
        <v>20000000</v>
      </c>
      <c r="W280" s="424"/>
      <c r="X280" s="424"/>
      <c r="Y280" s="61">
        <f t="shared" ref="Y280:Y281" si="94">+L280+M280+N280+O280+P280+Q280+R280+S280+T280+U280+V280+W280+X280</f>
        <v>20000000</v>
      </c>
    </row>
    <row r="281" spans="1:25" ht="66.75" customHeight="1">
      <c r="A281" s="226"/>
      <c r="B281" s="420"/>
      <c r="C281" s="275">
        <v>23</v>
      </c>
      <c r="D281" s="421" t="s">
        <v>380</v>
      </c>
      <c r="E281" s="230"/>
      <c r="F281" s="234">
        <v>124</v>
      </c>
      <c r="G281" s="232" t="s">
        <v>385</v>
      </c>
      <c r="H281" s="1098"/>
      <c r="I281" s="1100"/>
      <c r="J281" s="1090"/>
      <c r="K281" s="422" t="s">
        <v>109</v>
      </c>
      <c r="L281" s="423"/>
      <c r="M281" s="423"/>
      <c r="N281" s="423"/>
      <c r="O281" s="423"/>
      <c r="P281" s="423"/>
      <c r="Q281" s="423"/>
      <c r="R281" s="423"/>
      <c r="S281" s="423"/>
      <c r="T281" s="424"/>
      <c r="U281" s="424"/>
      <c r="V281" s="425">
        <f>45000000+45000000</f>
        <v>90000000</v>
      </c>
      <c r="W281" s="424"/>
      <c r="X281" s="424"/>
      <c r="Y281" s="61">
        <f t="shared" si="94"/>
        <v>90000000</v>
      </c>
    </row>
    <row r="282" spans="1:25" ht="15">
      <c r="A282" s="50"/>
      <c r="B282" s="69"/>
      <c r="C282" s="139"/>
      <c r="D282" s="138"/>
      <c r="E282" s="140"/>
      <c r="F282" s="141"/>
      <c r="G282" s="140"/>
      <c r="H282" s="141"/>
      <c r="I282" s="180"/>
      <c r="J282" s="140"/>
      <c r="K282" s="141"/>
      <c r="L282" s="181"/>
      <c r="M282" s="181"/>
      <c r="N282" s="181"/>
      <c r="O282" s="181"/>
      <c r="P282" s="181"/>
      <c r="Q282" s="181"/>
      <c r="R282" s="181"/>
      <c r="S282" s="181"/>
      <c r="T282" s="181"/>
      <c r="U282" s="181"/>
      <c r="V282" s="181">
        <f>SUM(V280:V281)</f>
        <v>110000000</v>
      </c>
      <c r="W282" s="181">
        <f>SUM(W280:W281)</f>
        <v>0</v>
      </c>
      <c r="X282" s="181"/>
      <c r="Y282" s="181">
        <f>SUM(Y280:Y281)</f>
        <v>110000000</v>
      </c>
    </row>
    <row r="283" spans="1:25" ht="15">
      <c r="A283" s="63"/>
      <c r="B283" s="415"/>
      <c r="C283" s="145"/>
      <c r="D283" s="144"/>
      <c r="E283" s="144"/>
      <c r="F283" s="145"/>
      <c r="G283" s="144"/>
      <c r="H283" s="145"/>
      <c r="I283" s="416"/>
      <c r="J283" s="144"/>
      <c r="K283" s="145"/>
      <c r="L283" s="417"/>
      <c r="M283" s="417"/>
      <c r="N283" s="417"/>
      <c r="O283" s="417"/>
      <c r="P283" s="417"/>
      <c r="Q283" s="417"/>
      <c r="R283" s="417"/>
      <c r="S283" s="417"/>
      <c r="T283" s="417"/>
      <c r="U283" s="417"/>
      <c r="V283" s="417">
        <f t="shared" ref="V283:W284" si="95">V282</f>
        <v>110000000</v>
      </c>
      <c r="W283" s="417">
        <f t="shared" si="95"/>
        <v>0</v>
      </c>
      <c r="X283" s="417"/>
      <c r="Y283" s="417">
        <f t="shared" ref="Y283:Y284" si="96">Y282</f>
        <v>110000000</v>
      </c>
    </row>
    <row r="284" spans="1:25" ht="15">
      <c r="A284" s="308"/>
      <c r="B284" s="308"/>
      <c r="C284" s="309"/>
      <c r="D284" s="308"/>
      <c r="E284" s="308"/>
      <c r="F284" s="309"/>
      <c r="G284" s="308"/>
      <c r="H284" s="309"/>
      <c r="I284" s="426"/>
      <c r="J284" s="308"/>
      <c r="K284" s="309"/>
      <c r="L284" s="427"/>
      <c r="M284" s="427"/>
      <c r="N284" s="427"/>
      <c r="O284" s="427"/>
      <c r="P284" s="427"/>
      <c r="Q284" s="427"/>
      <c r="R284" s="427"/>
      <c r="S284" s="427"/>
      <c r="T284" s="427"/>
      <c r="U284" s="427"/>
      <c r="V284" s="427">
        <f t="shared" si="95"/>
        <v>110000000</v>
      </c>
      <c r="W284" s="427">
        <f t="shared" si="95"/>
        <v>0</v>
      </c>
      <c r="X284" s="427"/>
      <c r="Y284" s="427">
        <f t="shared" si="96"/>
        <v>110000000</v>
      </c>
    </row>
    <row r="285" spans="1:25" ht="20.25" customHeight="1">
      <c r="A285" s="80"/>
      <c r="B285" s="80"/>
      <c r="C285" s="81"/>
      <c r="D285" s="80"/>
      <c r="E285" s="80"/>
      <c r="F285" s="81"/>
      <c r="G285" s="80"/>
      <c r="H285" s="82"/>
      <c r="I285" s="83"/>
      <c r="J285" s="80"/>
      <c r="K285" s="81"/>
      <c r="L285" s="84"/>
      <c r="M285" s="84"/>
      <c r="N285" s="84"/>
      <c r="O285" s="84"/>
      <c r="P285" s="84"/>
      <c r="Q285" s="84"/>
      <c r="R285" s="84"/>
      <c r="S285" s="84"/>
      <c r="T285" s="84"/>
      <c r="U285" s="84"/>
      <c r="V285" s="84">
        <f>+V284+V275+V249</f>
        <v>2943343000</v>
      </c>
      <c r="W285" s="84">
        <f>+W284+W275+W249</f>
        <v>0</v>
      </c>
      <c r="X285" s="84"/>
      <c r="Y285" s="84">
        <f>+Y284+Y275+Y249</f>
        <v>2943343000</v>
      </c>
    </row>
    <row r="286" spans="1:25" ht="29.25" customHeight="1">
      <c r="A286" s="85"/>
      <c r="B286" s="86"/>
      <c r="C286" s="87"/>
      <c r="D286" s="86"/>
      <c r="E286" s="86"/>
      <c r="F286" s="87"/>
      <c r="G286" s="86"/>
      <c r="H286" s="88"/>
      <c r="I286" s="89"/>
      <c r="J286" s="375"/>
      <c r="K286" s="87"/>
      <c r="L286" s="90"/>
      <c r="M286" s="90"/>
      <c r="N286" s="90"/>
      <c r="O286" s="90"/>
      <c r="P286" s="90"/>
      <c r="Q286" s="90"/>
      <c r="R286" s="90"/>
      <c r="S286" s="90"/>
      <c r="T286" s="90"/>
      <c r="U286" s="90"/>
      <c r="V286" s="92"/>
      <c r="W286" s="90"/>
      <c r="X286" s="90"/>
      <c r="Y286" s="94"/>
    </row>
    <row r="287" spans="1:25" ht="20.25" customHeight="1">
      <c r="A287" s="23" t="s">
        <v>386</v>
      </c>
      <c r="B287" s="24"/>
      <c r="C287" s="25"/>
      <c r="D287" s="24"/>
      <c r="E287" s="24"/>
      <c r="F287" s="25"/>
      <c r="G287" s="24"/>
      <c r="H287" s="24"/>
      <c r="I287" s="26"/>
      <c r="J287" s="24"/>
      <c r="K287" s="25"/>
      <c r="L287" s="95"/>
      <c r="M287" s="95"/>
      <c r="N287" s="95"/>
      <c r="O287" s="95"/>
      <c r="P287" s="95"/>
      <c r="Q287" s="95"/>
      <c r="R287" s="95"/>
      <c r="S287" s="95"/>
      <c r="T287" s="95"/>
      <c r="U287" s="95"/>
      <c r="V287" s="96"/>
      <c r="W287" s="95"/>
      <c r="X287" s="95"/>
      <c r="Y287" s="97" t="s">
        <v>186</v>
      </c>
    </row>
    <row r="288" spans="1:25" ht="15.75" customHeight="1">
      <c r="A288" s="11">
        <v>5</v>
      </c>
      <c r="B288" s="30" t="s">
        <v>76</v>
      </c>
      <c r="C288" s="31"/>
      <c r="D288" s="30"/>
      <c r="E288" s="30"/>
      <c r="F288" s="31"/>
      <c r="G288" s="30"/>
      <c r="H288" s="30"/>
      <c r="I288" s="32"/>
      <c r="J288" s="30"/>
      <c r="K288" s="30"/>
      <c r="L288" s="98"/>
      <c r="M288" s="98"/>
      <c r="N288" s="98"/>
      <c r="O288" s="98"/>
      <c r="P288" s="98"/>
      <c r="Q288" s="98"/>
      <c r="R288" s="98"/>
      <c r="S288" s="98"/>
      <c r="T288" s="98"/>
      <c r="U288" s="98"/>
      <c r="V288" s="99"/>
      <c r="W288" s="98"/>
      <c r="X288" s="98"/>
      <c r="Y288" s="100"/>
    </row>
    <row r="289" spans="1:25" s="29" customFormat="1" ht="20.25" customHeight="1">
      <c r="A289" s="101"/>
      <c r="B289" s="198">
        <v>26</v>
      </c>
      <c r="C289" s="36" t="s">
        <v>89</v>
      </c>
      <c r="D289" s="37"/>
      <c r="E289" s="37"/>
      <c r="F289" s="38"/>
      <c r="G289" s="37"/>
      <c r="H289" s="37"/>
      <c r="I289" s="39"/>
      <c r="J289" s="37"/>
      <c r="K289" s="37"/>
      <c r="L289" s="102"/>
      <c r="M289" s="102"/>
      <c r="N289" s="102"/>
      <c r="O289" s="102"/>
      <c r="P289" s="102"/>
      <c r="Q289" s="102"/>
      <c r="R289" s="102"/>
      <c r="S289" s="102"/>
      <c r="T289" s="102"/>
      <c r="U289" s="102"/>
      <c r="V289" s="103"/>
      <c r="W289" s="102"/>
      <c r="X289" s="102"/>
      <c r="Y289" s="104"/>
    </row>
    <row r="290" spans="1:25" s="29" customFormat="1" ht="20.25" customHeight="1">
      <c r="A290" s="50"/>
      <c r="B290" s="101"/>
      <c r="C290" s="87"/>
      <c r="D290" s="86"/>
      <c r="E290" s="351">
        <v>83</v>
      </c>
      <c r="F290" s="109" t="s">
        <v>90</v>
      </c>
      <c r="G290" s="109"/>
      <c r="H290" s="109"/>
      <c r="I290" s="109"/>
      <c r="J290" s="109"/>
      <c r="K290" s="109"/>
      <c r="L290" s="111"/>
      <c r="M290" s="111"/>
      <c r="N290" s="111"/>
      <c r="O290" s="111"/>
      <c r="P290" s="111"/>
      <c r="Q290" s="111"/>
      <c r="R290" s="111"/>
      <c r="S290" s="111"/>
      <c r="T290" s="111"/>
      <c r="U290" s="111"/>
      <c r="V290" s="112"/>
      <c r="W290" s="111"/>
      <c r="X290" s="111"/>
      <c r="Y290" s="113"/>
    </row>
    <row r="291" spans="1:25" ht="83.25" customHeight="1">
      <c r="A291" s="226"/>
      <c r="B291" s="226"/>
      <c r="C291" s="256">
        <v>37</v>
      </c>
      <c r="D291" s="232" t="s">
        <v>387</v>
      </c>
      <c r="E291" s="246"/>
      <c r="F291" s="234">
        <v>244</v>
      </c>
      <c r="G291" s="232" t="s">
        <v>388</v>
      </c>
      <c r="H291" s="312" t="s">
        <v>389</v>
      </c>
      <c r="I291" s="165" t="s">
        <v>390</v>
      </c>
      <c r="J291" s="232" t="s">
        <v>391</v>
      </c>
      <c r="K291" s="234" t="s">
        <v>109</v>
      </c>
      <c r="L291" s="235"/>
      <c r="M291" s="235"/>
      <c r="N291" s="235"/>
      <c r="O291" s="235"/>
      <c r="P291" s="235"/>
      <c r="Q291" s="235"/>
      <c r="R291" s="235"/>
      <c r="S291" s="235"/>
      <c r="T291" s="238"/>
      <c r="U291" s="238"/>
      <c r="V291" s="237">
        <f>400000000-100000000</f>
        <v>300000000</v>
      </c>
      <c r="W291" s="238"/>
      <c r="X291" s="238"/>
      <c r="Y291" s="61">
        <f t="shared" ref="Y291" si="97">+L291+M291+N291+O291+P291+Q291+R291+S291+T291+U291+V291+W291+X291</f>
        <v>300000000</v>
      </c>
    </row>
    <row r="292" spans="1:25" ht="15" customHeight="1">
      <c r="A292" s="50"/>
      <c r="B292" s="63"/>
      <c r="C292" s="51"/>
      <c r="D292" s="52"/>
      <c r="E292" s="64"/>
      <c r="F292" s="65"/>
      <c r="G292" s="64"/>
      <c r="H292" s="66"/>
      <c r="I292" s="67"/>
      <c r="J292" s="64"/>
      <c r="K292" s="65"/>
      <c r="L292" s="68"/>
      <c r="M292" s="68"/>
      <c r="N292" s="68"/>
      <c r="O292" s="68"/>
      <c r="P292" s="68"/>
      <c r="Q292" s="68"/>
      <c r="R292" s="68"/>
      <c r="S292" s="68"/>
      <c r="T292" s="68"/>
      <c r="U292" s="68"/>
      <c r="V292" s="221">
        <f>SUM(V291:V291)</f>
        <v>300000000</v>
      </c>
      <c r="W292" s="221">
        <f>SUM(W291:W291)</f>
        <v>0</v>
      </c>
      <c r="X292" s="221">
        <f>SUM(X291:X291)</f>
        <v>0</v>
      </c>
      <c r="Y292" s="221">
        <f>SUM(Y291:Y291)</f>
        <v>300000000</v>
      </c>
    </row>
    <row r="293" spans="1:25" ht="15" customHeight="1">
      <c r="A293" s="50"/>
      <c r="B293" s="142"/>
      <c r="C293" s="71"/>
      <c r="D293" s="70"/>
      <c r="E293" s="70"/>
      <c r="F293" s="71"/>
      <c r="G293" s="70"/>
      <c r="H293" s="72"/>
      <c r="I293" s="73"/>
      <c r="J293" s="70"/>
      <c r="K293" s="71"/>
      <c r="L293" s="74"/>
      <c r="M293" s="74"/>
      <c r="N293" s="74"/>
      <c r="O293" s="74"/>
      <c r="P293" s="74"/>
      <c r="Q293" s="74"/>
      <c r="R293" s="74"/>
      <c r="S293" s="74"/>
      <c r="T293" s="74"/>
      <c r="U293" s="74"/>
      <c r="V293" s="222">
        <f t="shared" ref="V293:Y293" si="98">V292</f>
        <v>300000000</v>
      </c>
      <c r="W293" s="222">
        <f t="shared" si="98"/>
        <v>0</v>
      </c>
      <c r="X293" s="222">
        <f t="shared" si="98"/>
        <v>0</v>
      </c>
      <c r="Y293" s="222">
        <f t="shared" si="98"/>
        <v>300000000</v>
      </c>
    </row>
    <row r="294" spans="1:25" ht="15" customHeight="1">
      <c r="A294" s="50"/>
      <c r="B294" s="86"/>
      <c r="C294" s="87"/>
      <c r="D294" s="86"/>
      <c r="E294" s="86"/>
      <c r="F294" s="87"/>
      <c r="G294" s="86"/>
      <c r="H294" s="88"/>
      <c r="I294" s="89"/>
      <c r="J294" s="86"/>
      <c r="K294" s="87"/>
      <c r="L294" s="90"/>
      <c r="M294" s="90"/>
      <c r="N294" s="90"/>
      <c r="O294" s="90"/>
      <c r="P294" s="90"/>
      <c r="Q294" s="90"/>
      <c r="R294" s="90"/>
      <c r="S294" s="90"/>
      <c r="T294" s="90"/>
      <c r="U294" s="90"/>
      <c r="V294" s="122"/>
      <c r="W294" s="90"/>
      <c r="X294" s="90"/>
      <c r="Y294" s="94"/>
    </row>
    <row r="295" spans="1:25" ht="15.75" customHeight="1">
      <c r="A295" s="50"/>
      <c r="B295" s="198">
        <v>28</v>
      </c>
      <c r="C295" s="1059" t="s">
        <v>77</v>
      </c>
      <c r="D295" s="1059"/>
      <c r="E295" s="1059"/>
      <c r="F295" s="1059"/>
      <c r="G295" s="1059"/>
      <c r="H295" s="37"/>
      <c r="I295" s="39"/>
      <c r="J295" s="37"/>
      <c r="K295" s="37"/>
      <c r="L295" s="102"/>
      <c r="M295" s="102"/>
      <c r="N295" s="102"/>
      <c r="O295" s="102"/>
      <c r="P295" s="102"/>
      <c r="Q295" s="102"/>
      <c r="R295" s="102"/>
      <c r="S295" s="102"/>
      <c r="T295" s="102"/>
      <c r="U295" s="102"/>
      <c r="V295" s="103"/>
      <c r="W295" s="102"/>
      <c r="X295" s="102"/>
      <c r="Y295" s="104"/>
    </row>
    <row r="296" spans="1:25" ht="20.25" customHeight="1">
      <c r="A296" s="50"/>
      <c r="B296" s="101"/>
      <c r="C296" s="87"/>
      <c r="D296" s="86"/>
      <c r="E296" s="351">
        <v>89</v>
      </c>
      <c r="F296" s="109" t="s">
        <v>78</v>
      </c>
      <c r="G296" s="109"/>
      <c r="H296" s="109"/>
      <c r="I296" s="109"/>
      <c r="J296" s="109"/>
      <c r="K296" s="109"/>
      <c r="L296" s="111"/>
      <c r="M296" s="111"/>
      <c r="N296" s="111"/>
      <c r="O296" s="111"/>
      <c r="P296" s="111"/>
      <c r="Q296" s="111"/>
      <c r="R296" s="111"/>
      <c r="S296" s="111"/>
      <c r="T296" s="111"/>
      <c r="U296" s="111"/>
      <c r="V296" s="112"/>
      <c r="W296" s="111"/>
      <c r="X296" s="111"/>
      <c r="Y296" s="113"/>
    </row>
    <row r="297" spans="1:25" ht="75" customHeight="1">
      <c r="A297" s="226"/>
      <c r="B297" s="226"/>
      <c r="C297" s="346">
        <v>38</v>
      </c>
      <c r="D297" s="347" t="s">
        <v>79</v>
      </c>
      <c r="E297" s="232"/>
      <c r="F297" s="234">
        <v>288</v>
      </c>
      <c r="G297" s="232" t="s">
        <v>392</v>
      </c>
      <c r="H297" s="312" t="s">
        <v>389</v>
      </c>
      <c r="I297" s="165" t="s">
        <v>393</v>
      </c>
      <c r="J297" s="232" t="s">
        <v>394</v>
      </c>
      <c r="K297" s="234" t="s">
        <v>30</v>
      </c>
      <c r="L297" s="235"/>
      <c r="M297" s="235"/>
      <c r="N297" s="235"/>
      <c r="O297" s="235"/>
      <c r="P297" s="235"/>
      <c r="Q297" s="235"/>
      <c r="R297" s="235"/>
      <c r="S297" s="235"/>
      <c r="T297" s="235"/>
      <c r="U297" s="235"/>
      <c r="V297" s="237">
        <f>731744000+100000000-200000000-50000000</f>
        <v>581744000</v>
      </c>
      <c r="W297" s="238"/>
      <c r="X297" s="238"/>
      <c r="Y297" s="61">
        <f t="shared" ref="Y297" si="99">+L297+M297+N297+O297+P297+Q297+R297+S297+T297+U297+V297+W297+X297</f>
        <v>581744000</v>
      </c>
    </row>
    <row r="298" spans="1:25" ht="18.75" customHeight="1">
      <c r="A298" s="50"/>
      <c r="B298" s="63"/>
      <c r="C298" s="51"/>
      <c r="D298" s="52"/>
      <c r="E298" s="64"/>
      <c r="F298" s="65"/>
      <c r="G298" s="64"/>
      <c r="H298" s="66"/>
      <c r="I298" s="67"/>
      <c r="J298" s="64"/>
      <c r="K298" s="65"/>
      <c r="L298" s="68"/>
      <c r="M298" s="68"/>
      <c r="N298" s="68"/>
      <c r="O298" s="68"/>
      <c r="P298" s="68"/>
      <c r="Q298" s="68"/>
      <c r="R298" s="68"/>
      <c r="S298" s="68"/>
      <c r="T298" s="68"/>
      <c r="U298" s="68"/>
      <c r="V298" s="221">
        <f t="shared" ref="V298:Y298" si="100">SUM(V297)</f>
        <v>581744000</v>
      </c>
      <c r="W298" s="221">
        <f t="shared" si="100"/>
        <v>0</v>
      </c>
      <c r="X298" s="221">
        <f t="shared" si="100"/>
        <v>0</v>
      </c>
      <c r="Y298" s="221">
        <f t="shared" si="100"/>
        <v>581744000</v>
      </c>
    </row>
    <row r="299" spans="1:25" ht="17.25" customHeight="1">
      <c r="A299" s="63"/>
      <c r="B299" s="142"/>
      <c r="C299" s="71"/>
      <c r="D299" s="70"/>
      <c r="E299" s="70"/>
      <c r="F299" s="71"/>
      <c r="G299" s="70"/>
      <c r="H299" s="72"/>
      <c r="I299" s="73"/>
      <c r="J299" s="70"/>
      <c r="K299" s="71"/>
      <c r="L299" s="74"/>
      <c r="M299" s="74"/>
      <c r="N299" s="74"/>
      <c r="O299" s="74"/>
      <c r="P299" s="74"/>
      <c r="Q299" s="74"/>
      <c r="R299" s="74"/>
      <c r="S299" s="74"/>
      <c r="T299" s="74"/>
      <c r="U299" s="74"/>
      <c r="V299" s="222">
        <f t="shared" ref="V299:Y299" si="101">V298</f>
        <v>581744000</v>
      </c>
      <c r="W299" s="222">
        <f t="shared" si="101"/>
        <v>0</v>
      </c>
      <c r="X299" s="222">
        <f t="shared" si="101"/>
        <v>0</v>
      </c>
      <c r="Y299" s="222">
        <f t="shared" si="101"/>
        <v>581744000</v>
      </c>
    </row>
    <row r="300" spans="1:25" ht="16.5" customHeight="1">
      <c r="A300" s="75"/>
      <c r="B300" s="75"/>
      <c r="C300" s="76"/>
      <c r="D300" s="75"/>
      <c r="E300" s="75"/>
      <c r="F300" s="76"/>
      <c r="G300" s="75"/>
      <c r="H300" s="77"/>
      <c r="I300" s="78"/>
      <c r="J300" s="75"/>
      <c r="K300" s="76"/>
      <c r="L300" s="79"/>
      <c r="M300" s="79"/>
      <c r="N300" s="79"/>
      <c r="O300" s="79"/>
      <c r="P300" s="79"/>
      <c r="Q300" s="79"/>
      <c r="R300" s="79"/>
      <c r="S300" s="79"/>
      <c r="T300" s="79"/>
      <c r="U300" s="79"/>
      <c r="V300" s="223">
        <f t="shared" ref="V300:Y300" si="102">V299+V293</f>
        <v>881744000</v>
      </c>
      <c r="W300" s="223">
        <f t="shared" si="102"/>
        <v>0</v>
      </c>
      <c r="X300" s="223">
        <f t="shared" si="102"/>
        <v>0</v>
      </c>
      <c r="Y300" s="223">
        <f t="shared" si="102"/>
        <v>881744000</v>
      </c>
    </row>
    <row r="301" spans="1:25" ht="21" customHeight="1">
      <c r="A301" s="80"/>
      <c r="B301" s="80"/>
      <c r="C301" s="81"/>
      <c r="D301" s="80"/>
      <c r="E301" s="80"/>
      <c r="F301" s="81"/>
      <c r="G301" s="80"/>
      <c r="H301" s="82"/>
      <c r="I301" s="83"/>
      <c r="J301" s="80"/>
      <c r="K301" s="81"/>
      <c r="L301" s="84"/>
      <c r="M301" s="84"/>
      <c r="N301" s="84"/>
      <c r="O301" s="84"/>
      <c r="P301" s="84"/>
      <c r="Q301" s="84"/>
      <c r="R301" s="84"/>
      <c r="S301" s="84"/>
      <c r="T301" s="84"/>
      <c r="U301" s="84"/>
      <c r="V301" s="224">
        <f t="shared" ref="V301:Y301" si="103">V300</f>
        <v>881744000</v>
      </c>
      <c r="W301" s="224">
        <f t="shared" si="103"/>
        <v>0</v>
      </c>
      <c r="X301" s="224">
        <f t="shared" si="103"/>
        <v>0</v>
      </c>
      <c r="Y301" s="224">
        <f t="shared" si="103"/>
        <v>881744000</v>
      </c>
    </row>
    <row r="302" spans="1:25" ht="29.25" customHeight="1">
      <c r="A302" s="85"/>
      <c r="B302" s="86"/>
      <c r="C302" s="87"/>
      <c r="D302" s="86"/>
      <c r="E302" s="86"/>
      <c r="F302" s="87"/>
      <c r="G302" s="86"/>
      <c r="H302" s="88"/>
      <c r="I302" s="89"/>
      <c r="J302" s="86"/>
      <c r="K302" s="87"/>
      <c r="L302" s="90"/>
      <c r="M302" s="90"/>
      <c r="N302" s="90"/>
      <c r="O302" s="90"/>
      <c r="P302" s="90"/>
      <c r="Q302" s="90"/>
      <c r="R302" s="91"/>
      <c r="S302" s="91"/>
      <c r="T302" s="90"/>
      <c r="U302" s="90"/>
      <c r="V302" s="92"/>
      <c r="W302" s="90"/>
      <c r="X302" s="90"/>
      <c r="Y302" s="94"/>
    </row>
    <row r="303" spans="1:25" ht="20.25">
      <c r="A303" s="23" t="s">
        <v>395</v>
      </c>
      <c r="B303" s="24"/>
      <c r="C303" s="25"/>
      <c r="D303" s="24"/>
      <c r="E303" s="24"/>
      <c r="F303" s="25"/>
      <c r="G303" s="24"/>
      <c r="H303" s="24"/>
      <c r="I303" s="26"/>
      <c r="J303" s="24"/>
      <c r="K303" s="25"/>
      <c r="L303" s="95"/>
      <c r="M303" s="95"/>
      <c r="N303" s="95"/>
      <c r="O303" s="95"/>
      <c r="P303" s="95"/>
      <c r="Q303" s="95"/>
      <c r="R303" s="95"/>
      <c r="S303" s="95"/>
      <c r="T303" s="95"/>
      <c r="U303" s="95"/>
      <c r="V303" s="96"/>
      <c r="W303" s="95"/>
      <c r="X303" s="95"/>
      <c r="Y303" s="97" t="s">
        <v>186</v>
      </c>
    </row>
    <row r="304" spans="1:25" ht="25.5" customHeight="1">
      <c r="A304" s="11">
        <v>3</v>
      </c>
      <c r="B304" s="30" t="s">
        <v>255</v>
      </c>
      <c r="C304" s="31"/>
      <c r="D304" s="30"/>
      <c r="E304" s="30"/>
      <c r="F304" s="31"/>
      <c r="G304" s="30"/>
      <c r="H304" s="30"/>
      <c r="I304" s="32"/>
      <c r="J304" s="30"/>
      <c r="K304" s="30"/>
      <c r="L304" s="98"/>
      <c r="M304" s="98"/>
      <c r="N304" s="98"/>
      <c r="O304" s="98"/>
      <c r="P304" s="98"/>
      <c r="Q304" s="98"/>
      <c r="R304" s="98"/>
      <c r="S304" s="98"/>
      <c r="T304" s="98"/>
      <c r="U304" s="98"/>
      <c r="V304" s="99"/>
      <c r="W304" s="98"/>
      <c r="X304" s="98"/>
      <c r="Y304" s="100"/>
    </row>
    <row r="305" spans="1:25" ht="22.5" customHeight="1">
      <c r="A305" s="101"/>
      <c r="B305" s="198">
        <v>5</v>
      </c>
      <c r="C305" s="36" t="s">
        <v>396</v>
      </c>
      <c r="D305" s="37"/>
      <c r="E305" s="37"/>
      <c r="F305" s="38"/>
      <c r="G305" s="37"/>
      <c r="H305" s="37"/>
      <c r="I305" s="39"/>
      <c r="J305" s="37"/>
      <c r="K305" s="37"/>
      <c r="L305" s="102"/>
      <c r="M305" s="102"/>
      <c r="N305" s="102"/>
      <c r="O305" s="102"/>
      <c r="P305" s="102"/>
      <c r="Q305" s="102"/>
      <c r="R305" s="102"/>
      <c r="S305" s="102"/>
      <c r="T305" s="102"/>
      <c r="U305" s="102"/>
      <c r="V305" s="103"/>
      <c r="W305" s="102"/>
      <c r="X305" s="102"/>
      <c r="Y305" s="104"/>
    </row>
    <row r="306" spans="1:25" ht="23.25" customHeight="1">
      <c r="A306" s="50"/>
      <c r="B306" s="101"/>
      <c r="C306" s="87"/>
      <c r="D306" s="86"/>
      <c r="E306" s="351">
        <v>16</v>
      </c>
      <c r="F306" s="109" t="s">
        <v>397</v>
      </c>
      <c r="G306" s="109"/>
      <c r="H306" s="109"/>
      <c r="I306" s="109"/>
      <c r="J306" s="109"/>
      <c r="K306" s="109"/>
      <c r="L306" s="111"/>
      <c r="M306" s="111"/>
      <c r="N306" s="111"/>
      <c r="O306" s="428"/>
      <c r="P306" s="111"/>
      <c r="Q306" s="111"/>
      <c r="R306" s="111"/>
      <c r="S306" s="111"/>
      <c r="T306" s="111"/>
      <c r="U306" s="111"/>
      <c r="V306" s="112"/>
      <c r="W306" s="111"/>
      <c r="X306" s="111"/>
      <c r="Y306" s="113"/>
    </row>
    <row r="307" spans="1:25" ht="57.75" customHeight="1">
      <c r="A307" s="226"/>
      <c r="B307" s="226"/>
      <c r="C307" s="256">
        <v>15</v>
      </c>
      <c r="D307" s="232" t="s">
        <v>398</v>
      </c>
      <c r="E307" s="246"/>
      <c r="F307" s="234">
        <v>65</v>
      </c>
      <c r="G307" s="232" t="s">
        <v>399</v>
      </c>
      <c r="H307" s="1104" t="s">
        <v>400</v>
      </c>
      <c r="I307" s="1092" t="s">
        <v>401</v>
      </c>
      <c r="J307" s="1094" t="s">
        <v>402</v>
      </c>
      <c r="K307" s="234" t="s">
        <v>30</v>
      </c>
      <c r="L307" s="235"/>
      <c r="M307" s="235"/>
      <c r="N307" s="235"/>
      <c r="O307" s="429">
        <v>2349543380</v>
      </c>
      <c r="P307" s="235"/>
      <c r="Q307" s="235"/>
      <c r="R307" s="235"/>
      <c r="S307" s="235"/>
      <c r="T307" s="430"/>
      <c r="U307" s="430"/>
      <c r="V307" s="431">
        <f>1140000000+130863000</f>
        <v>1270863000</v>
      </c>
      <c r="W307" s="235"/>
      <c r="X307" s="430"/>
      <c r="Y307" s="61">
        <f t="shared" ref="Y307:Y309" si="104">+L307+M307+N307+O307+P307+Q307+R307+S307+T307+U307+V307+W307+X307</f>
        <v>3620406380</v>
      </c>
    </row>
    <row r="308" spans="1:25" ht="54" customHeight="1">
      <c r="A308" s="226"/>
      <c r="B308" s="226"/>
      <c r="C308" s="256">
        <v>15</v>
      </c>
      <c r="D308" s="232" t="s">
        <v>398</v>
      </c>
      <c r="E308" s="230"/>
      <c r="F308" s="234">
        <v>66</v>
      </c>
      <c r="G308" s="232" t="s">
        <v>403</v>
      </c>
      <c r="H308" s="1105"/>
      <c r="I308" s="1100"/>
      <c r="J308" s="1090"/>
      <c r="K308" s="234" t="s">
        <v>30</v>
      </c>
      <c r="L308" s="235"/>
      <c r="M308" s="235"/>
      <c r="N308" s="235"/>
      <c r="O308" s="429"/>
      <c r="P308" s="235"/>
      <c r="Q308" s="235"/>
      <c r="R308" s="235"/>
      <c r="S308" s="432"/>
      <c r="T308" s="433">
        <v>12150000000</v>
      </c>
      <c r="U308" s="238"/>
      <c r="V308" s="434">
        <v>286000000</v>
      </c>
      <c r="W308" s="235"/>
      <c r="X308" s="238"/>
      <c r="Y308" s="61">
        <f t="shared" si="104"/>
        <v>12436000000</v>
      </c>
    </row>
    <row r="309" spans="1:25" ht="57.75" customHeight="1">
      <c r="A309" s="226"/>
      <c r="B309" s="226"/>
      <c r="C309" s="256">
        <v>15</v>
      </c>
      <c r="D309" s="232" t="s">
        <v>398</v>
      </c>
      <c r="E309" s="230"/>
      <c r="F309" s="234">
        <v>67</v>
      </c>
      <c r="G309" s="232" t="s">
        <v>404</v>
      </c>
      <c r="H309" s="1106"/>
      <c r="I309" s="1093"/>
      <c r="J309" s="1091"/>
      <c r="K309" s="234" t="s">
        <v>30</v>
      </c>
      <c r="L309" s="235"/>
      <c r="M309" s="235"/>
      <c r="N309" s="235"/>
      <c r="O309" s="429">
        <v>200000000</v>
      </c>
      <c r="P309" s="235"/>
      <c r="Q309" s="235"/>
      <c r="R309" s="235"/>
      <c r="S309" s="235"/>
      <c r="T309" s="238"/>
      <c r="U309" s="238"/>
      <c r="V309" s="434">
        <f>860000000+40000000</f>
        <v>900000000</v>
      </c>
      <c r="W309" s="235"/>
      <c r="X309" s="238"/>
      <c r="Y309" s="61">
        <f t="shared" si="104"/>
        <v>1100000000</v>
      </c>
    </row>
    <row r="310" spans="1:25" ht="18" customHeight="1">
      <c r="A310" s="50"/>
      <c r="B310" s="50"/>
      <c r="C310" s="256"/>
      <c r="D310" s="232"/>
      <c r="E310" s="64"/>
      <c r="F310" s="65"/>
      <c r="G310" s="64"/>
      <c r="H310" s="435"/>
      <c r="I310" s="67"/>
      <c r="J310" s="64"/>
      <c r="K310" s="65"/>
      <c r="L310" s="436"/>
      <c r="M310" s="68"/>
      <c r="N310" s="68"/>
      <c r="O310" s="437">
        <f t="shared" ref="O310:Y310" si="105">SUM(O307:O309)</f>
        <v>2549543380</v>
      </c>
      <c r="P310" s="68"/>
      <c r="Q310" s="68"/>
      <c r="R310" s="68"/>
      <c r="S310" s="68"/>
      <c r="T310" s="437">
        <f t="shared" si="105"/>
        <v>12150000000</v>
      </c>
      <c r="U310" s="68"/>
      <c r="V310" s="221">
        <f t="shared" si="105"/>
        <v>2456863000</v>
      </c>
      <c r="W310" s="221">
        <f t="shared" si="105"/>
        <v>0</v>
      </c>
      <c r="X310" s="221">
        <f t="shared" si="105"/>
        <v>0</v>
      </c>
      <c r="Y310" s="221">
        <f t="shared" si="105"/>
        <v>17156406380</v>
      </c>
    </row>
    <row r="311" spans="1:25" ht="12.75" customHeight="1">
      <c r="A311" s="50"/>
      <c r="B311" s="50"/>
      <c r="C311" s="87"/>
      <c r="D311" s="86"/>
      <c r="E311" s="86"/>
      <c r="F311" s="87"/>
      <c r="G311" s="86"/>
      <c r="H311" s="438"/>
      <c r="I311" s="271"/>
      <c r="J311" s="146"/>
      <c r="K311" s="87"/>
      <c r="L311" s="90"/>
      <c r="M311" s="90"/>
      <c r="N311" s="90"/>
      <c r="O311" s="90"/>
      <c r="P311" s="90"/>
      <c r="Q311" s="90"/>
      <c r="R311" s="91"/>
      <c r="S311" s="91"/>
      <c r="T311" s="188"/>
      <c r="U311" s="188"/>
      <c r="V311" s="439"/>
      <c r="W311" s="90"/>
      <c r="X311" s="90"/>
      <c r="Y311" s="94"/>
    </row>
    <row r="312" spans="1:25" ht="15">
      <c r="A312" s="50"/>
      <c r="B312" s="50"/>
      <c r="C312" s="51"/>
      <c r="D312" s="52"/>
      <c r="E312" s="351">
        <v>17</v>
      </c>
      <c r="F312" s="109" t="s">
        <v>405</v>
      </c>
      <c r="G312" s="109"/>
      <c r="H312" s="109"/>
      <c r="I312" s="109"/>
      <c r="J312" s="109"/>
      <c r="K312" s="109"/>
      <c r="L312" s="440"/>
      <c r="M312" s="111"/>
      <c r="N312" s="111"/>
      <c r="O312" s="111"/>
      <c r="P312" s="111"/>
      <c r="Q312" s="111"/>
      <c r="R312" s="440"/>
      <c r="S312" s="440"/>
      <c r="T312" s="440"/>
      <c r="U312" s="440"/>
      <c r="V312" s="112"/>
      <c r="W312" s="111"/>
      <c r="X312" s="111"/>
      <c r="Y312" s="113"/>
    </row>
    <row r="313" spans="1:25" ht="94.5" customHeight="1">
      <c r="A313" s="226"/>
      <c r="B313" s="226"/>
      <c r="C313" s="256">
        <v>15</v>
      </c>
      <c r="D313" s="232" t="s">
        <v>398</v>
      </c>
      <c r="E313" s="230"/>
      <c r="F313" s="234">
        <v>72</v>
      </c>
      <c r="G313" s="232" t="s">
        <v>406</v>
      </c>
      <c r="H313" s="1107" t="s">
        <v>400</v>
      </c>
      <c r="I313" s="1100" t="s">
        <v>407</v>
      </c>
      <c r="J313" s="1090" t="s">
        <v>408</v>
      </c>
      <c r="K313" s="234" t="s">
        <v>30</v>
      </c>
      <c r="L313" s="235"/>
      <c r="M313" s="235"/>
      <c r="N313" s="235"/>
      <c r="O313" s="235"/>
      <c r="P313" s="235"/>
      <c r="Q313" s="235"/>
      <c r="R313" s="235">
        <v>52000000</v>
      </c>
      <c r="S313" s="235"/>
      <c r="T313" s="238"/>
      <c r="U313" s="238"/>
      <c r="V313" s="237">
        <v>0</v>
      </c>
      <c r="W313" s="238"/>
      <c r="X313" s="238"/>
      <c r="Y313" s="61">
        <f t="shared" ref="Y313:Y314" si="106">+L313+M313+N313+O313+P313+Q313+R313+S313+T313+U313+V313+W313+X313</f>
        <v>52000000</v>
      </c>
    </row>
    <row r="314" spans="1:25" ht="62.25" customHeight="1">
      <c r="A314" s="226"/>
      <c r="B314" s="226"/>
      <c r="C314" s="256">
        <v>15</v>
      </c>
      <c r="D314" s="232" t="s">
        <v>398</v>
      </c>
      <c r="E314" s="276"/>
      <c r="F314" s="234">
        <v>73</v>
      </c>
      <c r="G314" s="232" t="s">
        <v>409</v>
      </c>
      <c r="H314" s="1108"/>
      <c r="I314" s="1093"/>
      <c r="J314" s="1091"/>
      <c r="K314" s="234" t="s">
        <v>30</v>
      </c>
      <c r="L314" s="235"/>
      <c r="M314" s="235"/>
      <c r="N314" s="235"/>
      <c r="O314" s="235"/>
      <c r="P314" s="235"/>
      <c r="Q314" s="235"/>
      <c r="R314" s="441">
        <v>1580000000</v>
      </c>
      <c r="S314" s="235"/>
      <c r="T314" s="238"/>
      <c r="U314" s="238"/>
      <c r="V314" s="237"/>
      <c r="W314" s="238"/>
      <c r="X314" s="238"/>
      <c r="Y314" s="61">
        <f t="shared" si="106"/>
        <v>1580000000</v>
      </c>
    </row>
    <row r="315" spans="1:25" ht="15">
      <c r="A315" s="50"/>
      <c r="B315" s="50"/>
      <c r="C315" s="256"/>
      <c r="D315" s="232"/>
      <c r="E315" s="64"/>
      <c r="F315" s="65"/>
      <c r="G315" s="64"/>
      <c r="H315" s="435"/>
      <c r="I315" s="67"/>
      <c r="J315" s="64"/>
      <c r="K315" s="65"/>
      <c r="L315" s="68"/>
      <c r="M315" s="68"/>
      <c r="N315" s="68"/>
      <c r="O315" s="68"/>
      <c r="P315" s="68"/>
      <c r="Q315" s="68"/>
      <c r="R315" s="437">
        <f>SUM(R313:R314)</f>
        <v>1632000000</v>
      </c>
      <c r="S315" s="68"/>
      <c r="T315" s="68"/>
      <c r="U315" s="68"/>
      <c r="V315" s="68">
        <f>SUM(V313:V314)</f>
        <v>0</v>
      </c>
      <c r="W315" s="68">
        <f>SUM(W313:W314)</f>
        <v>0</v>
      </c>
      <c r="X315" s="68">
        <f>SUM(X313:X314)</f>
        <v>0</v>
      </c>
      <c r="Y315" s="68">
        <f>SUM(Y313:Y314)</f>
        <v>1632000000</v>
      </c>
    </row>
    <row r="316" spans="1:25" ht="15">
      <c r="A316" s="50"/>
      <c r="B316" s="50"/>
      <c r="C316" s="87"/>
      <c r="D316" s="86"/>
      <c r="E316" s="86"/>
      <c r="F316" s="87"/>
      <c r="G316" s="86"/>
      <c r="H316" s="442"/>
      <c r="I316" s="89"/>
      <c r="J316" s="86"/>
      <c r="K316" s="87"/>
      <c r="L316" s="90"/>
      <c r="M316" s="90"/>
      <c r="N316" s="90"/>
      <c r="O316" s="90"/>
      <c r="P316" s="90"/>
      <c r="Q316" s="90"/>
      <c r="R316" s="91"/>
      <c r="S316" s="91"/>
      <c r="T316" s="188"/>
      <c r="U316" s="188"/>
      <c r="V316" s="439"/>
      <c r="W316" s="90"/>
      <c r="X316" s="90"/>
      <c r="Y316" s="148"/>
    </row>
    <row r="317" spans="1:25" ht="15">
      <c r="A317" s="50"/>
      <c r="B317" s="50"/>
      <c r="C317" s="51"/>
      <c r="D317" s="52"/>
      <c r="E317" s="243">
        <v>18</v>
      </c>
      <c r="F317" s="277" t="s">
        <v>410</v>
      </c>
      <c r="G317" s="109"/>
      <c r="H317" s="109"/>
      <c r="I317" s="109"/>
      <c r="J317" s="109"/>
      <c r="K317" s="109"/>
      <c r="L317" s="111"/>
      <c r="M317" s="111"/>
      <c r="N317" s="111"/>
      <c r="O317" s="111"/>
      <c r="P317" s="111"/>
      <c r="Q317" s="111"/>
      <c r="R317" s="111"/>
      <c r="S317" s="111"/>
      <c r="T317" s="111"/>
      <c r="U317" s="111"/>
      <c r="V317" s="112"/>
      <c r="W317" s="111"/>
      <c r="X317" s="111"/>
      <c r="Y317" s="443"/>
    </row>
    <row r="318" spans="1:25" ht="102" customHeight="1">
      <c r="A318" s="50"/>
      <c r="B318" s="50"/>
      <c r="C318" s="256">
        <v>15</v>
      </c>
      <c r="D318" s="232" t="s">
        <v>398</v>
      </c>
      <c r="E318" s="136"/>
      <c r="F318" s="54">
        <v>74</v>
      </c>
      <c r="G318" s="52" t="s">
        <v>411</v>
      </c>
      <c r="H318" s="444" t="s">
        <v>400</v>
      </c>
      <c r="I318" s="115" t="s">
        <v>412</v>
      </c>
      <c r="J318" s="52" t="s">
        <v>413</v>
      </c>
      <c r="K318" s="54" t="s">
        <v>30</v>
      </c>
      <c r="L318" s="57"/>
      <c r="M318" s="57"/>
      <c r="N318" s="57"/>
      <c r="O318" s="57"/>
      <c r="P318" s="57"/>
      <c r="Q318" s="57"/>
      <c r="R318" s="235">
        <f>128238000000+30000000</f>
        <v>128268000000</v>
      </c>
      <c r="S318" s="336">
        <f>16500000000+7000000000</f>
        <v>23500000000</v>
      </c>
      <c r="T318" s="57"/>
      <c r="U318" s="57"/>
      <c r="V318" s="59"/>
      <c r="W318" s="60"/>
      <c r="X318" s="60"/>
      <c r="Y318" s="61">
        <f t="shared" ref="Y318" si="107">+L318+M318+N318+O318+P318+Q318+R318+S318+T318+U318+V318+W318+X318</f>
        <v>151768000000</v>
      </c>
    </row>
    <row r="319" spans="1:25" ht="18.75" customHeight="1">
      <c r="A319" s="50"/>
      <c r="B319" s="63"/>
      <c r="C319" s="256"/>
      <c r="D319" s="232"/>
      <c r="E319" s="65"/>
      <c r="F319" s="65"/>
      <c r="G319" s="64"/>
      <c r="H319" s="435"/>
      <c r="I319" s="67"/>
      <c r="J319" s="65"/>
      <c r="K319" s="65"/>
      <c r="L319" s="68"/>
      <c r="M319" s="68"/>
      <c r="N319" s="68"/>
      <c r="O319" s="68">
        <f t="shared" ref="O319" si="108">SUM(O318:O318)</f>
        <v>0</v>
      </c>
      <c r="P319" s="68"/>
      <c r="Q319" s="68"/>
      <c r="R319" s="68">
        <f t="shared" ref="R319:T319" si="109">SUM(R318:R318)</f>
        <v>128268000000</v>
      </c>
      <c r="S319" s="68">
        <f t="shared" si="109"/>
        <v>23500000000</v>
      </c>
      <c r="T319" s="68">
        <f t="shared" si="109"/>
        <v>0</v>
      </c>
      <c r="U319" s="68"/>
      <c r="V319" s="68">
        <f t="shared" ref="V319:Y319" si="110">SUM(V318:V318)</f>
        <v>0</v>
      </c>
      <c r="W319" s="68">
        <f t="shared" si="110"/>
        <v>0</v>
      </c>
      <c r="X319" s="68">
        <f t="shared" si="110"/>
        <v>0</v>
      </c>
      <c r="Y319" s="68">
        <f t="shared" si="110"/>
        <v>151768000000</v>
      </c>
    </row>
    <row r="320" spans="1:25" ht="18.75" customHeight="1">
      <c r="A320" s="50"/>
      <c r="B320" s="142"/>
      <c r="C320" s="71"/>
      <c r="D320" s="70"/>
      <c r="E320" s="70"/>
      <c r="F320" s="71"/>
      <c r="G320" s="70"/>
      <c r="H320" s="445"/>
      <c r="I320" s="73"/>
      <c r="J320" s="70"/>
      <c r="K320" s="71"/>
      <c r="L320" s="74"/>
      <c r="M320" s="74"/>
      <c r="N320" s="74"/>
      <c r="O320" s="74">
        <f>O319+O315+O310</f>
        <v>2549543380</v>
      </c>
      <c r="P320" s="74"/>
      <c r="Q320" s="74"/>
      <c r="R320" s="74">
        <f>R319+R315+R310</f>
        <v>129900000000</v>
      </c>
      <c r="S320" s="74">
        <f>S319+S315+S310</f>
        <v>23500000000</v>
      </c>
      <c r="T320" s="74">
        <f>T319+T315+T310</f>
        <v>12150000000</v>
      </c>
      <c r="U320" s="74"/>
      <c r="V320" s="74">
        <f>V319+V315+V310</f>
        <v>2456863000</v>
      </c>
      <c r="W320" s="74">
        <f>W319+W315+W310</f>
        <v>0</v>
      </c>
      <c r="X320" s="74">
        <f>X319+X315+X310</f>
        <v>0</v>
      </c>
      <c r="Y320" s="74">
        <f>Y319+Y315+Y310</f>
        <v>170556406380</v>
      </c>
    </row>
    <row r="321" spans="1:25" ht="15">
      <c r="A321" s="50"/>
      <c r="B321" s="86"/>
      <c r="C321" s="87"/>
      <c r="D321" s="86"/>
      <c r="E321" s="86"/>
      <c r="F321" s="87"/>
      <c r="G321" s="86"/>
      <c r="H321" s="438"/>
      <c r="I321" s="271"/>
      <c r="J321" s="146"/>
      <c r="K321" s="87"/>
      <c r="L321" s="90"/>
      <c r="M321" s="90"/>
      <c r="N321" s="188"/>
      <c r="O321" s="188"/>
      <c r="P321" s="90"/>
      <c r="Q321" s="90"/>
      <c r="R321" s="91"/>
      <c r="S321" s="91"/>
      <c r="T321" s="188"/>
      <c r="U321" s="188"/>
      <c r="V321" s="306"/>
      <c r="W321" s="90"/>
      <c r="X321" s="90"/>
      <c r="Y321" s="94"/>
    </row>
    <row r="322" spans="1:25">
      <c r="A322" s="50"/>
      <c r="B322" s="198">
        <v>6</v>
      </c>
      <c r="C322" s="36" t="s">
        <v>414</v>
      </c>
      <c r="D322" s="37"/>
      <c r="E322" s="37"/>
      <c r="F322" s="38"/>
      <c r="G322" s="37"/>
      <c r="H322" s="37"/>
      <c r="I322" s="39"/>
      <c r="J322" s="37"/>
      <c r="K322" s="37"/>
      <c r="L322" s="102"/>
      <c r="M322" s="102"/>
      <c r="N322" s="102"/>
      <c r="O322" s="102"/>
      <c r="P322" s="102"/>
      <c r="Q322" s="102"/>
      <c r="R322" s="102"/>
      <c r="S322" s="102"/>
      <c r="T322" s="102"/>
      <c r="U322" s="102"/>
      <c r="V322" s="103"/>
      <c r="W322" s="102"/>
      <c r="X322" s="102"/>
      <c r="Y322" s="104"/>
    </row>
    <row r="323" spans="1:25" ht="15">
      <c r="A323" s="50"/>
      <c r="B323" s="50"/>
      <c r="C323" s="160"/>
      <c r="D323" s="138"/>
      <c r="E323" s="446">
        <v>20</v>
      </c>
      <c r="F323" s="277" t="s">
        <v>415</v>
      </c>
      <c r="G323" s="109"/>
      <c r="H323" s="109"/>
      <c r="I323" s="109"/>
      <c r="J323" s="109"/>
      <c r="K323" s="109"/>
      <c r="L323" s="111"/>
      <c r="M323" s="111"/>
      <c r="N323" s="111"/>
      <c r="O323" s="111"/>
      <c r="P323" s="111"/>
      <c r="Q323" s="111"/>
      <c r="R323" s="111"/>
      <c r="S323" s="111"/>
      <c r="T323" s="111"/>
      <c r="U323" s="111"/>
      <c r="V323" s="112"/>
      <c r="W323" s="111"/>
      <c r="X323" s="111"/>
      <c r="Y323" s="113"/>
    </row>
    <row r="324" spans="1:25" ht="69" customHeight="1">
      <c r="A324" s="226"/>
      <c r="B324" s="420"/>
      <c r="C324" s="447">
        <v>19</v>
      </c>
      <c r="D324" s="448" t="s">
        <v>416</v>
      </c>
      <c r="E324" s="249"/>
      <c r="F324" s="234">
        <v>83</v>
      </c>
      <c r="G324" s="232" t="s">
        <v>417</v>
      </c>
      <c r="H324" s="1116" t="s">
        <v>400</v>
      </c>
      <c r="I324" s="1076" t="s">
        <v>418</v>
      </c>
      <c r="J324" s="1077" t="s">
        <v>419</v>
      </c>
      <c r="K324" s="234" t="s">
        <v>109</v>
      </c>
      <c r="L324" s="235"/>
      <c r="M324" s="235"/>
      <c r="N324" s="235"/>
      <c r="O324" s="235"/>
      <c r="P324" s="235"/>
      <c r="Q324" s="235"/>
      <c r="R324" s="235"/>
      <c r="S324" s="235"/>
      <c r="T324" s="235"/>
      <c r="U324" s="235"/>
      <c r="V324" s="237">
        <f>20000000+10000000+31600000</f>
        <v>61600000</v>
      </c>
      <c r="W324" s="238"/>
      <c r="X324" s="238"/>
      <c r="Y324" s="61">
        <f t="shared" ref="Y324:Y329" si="111">+L324+M324+N324+O324+P324+Q324+R324+S324+T324+U324+V324+W324+X324</f>
        <v>61600000</v>
      </c>
    </row>
    <row r="325" spans="1:25" ht="62.25" customHeight="1">
      <c r="A325" s="226"/>
      <c r="B325" s="420"/>
      <c r="C325" s="447">
        <v>19</v>
      </c>
      <c r="D325" s="448" t="s">
        <v>416</v>
      </c>
      <c r="E325" s="449"/>
      <c r="F325" s="234">
        <v>87</v>
      </c>
      <c r="G325" s="232" t="s">
        <v>420</v>
      </c>
      <c r="H325" s="1117"/>
      <c r="I325" s="1061"/>
      <c r="J325" s="1064"/>
      <c r="K325" s="234" t="s">
        <v>30</v>
      </c>
      <c r="L325" s="235"/>
      <c r="M325" s="235"/>
      <c r="N325" s="235"/>
      <c r="O325" s="235"/>
      <c r="P325" s="235"/>
      <c r="Q325" s="235"/>
      <c r="R325" s="235">
        <v>25000000</v>
      </c>
      <c r="S325" s="235"/>
      <c r="T325" s="238"/>
      <c r="U325" s="238"/>
      <c r="V325" s="237">
        <f>20000000+30000000-30000000</f>
        <v>20000000</v>
      </c>
      <c r="W325" s="238"/>
      <c r="X325" s="238"/>
      <c r="Y325" s="61">
        <f t="shared" si="111"/>
        <v>45000000</v>
      </c>
    </row>
    <row r="326" spans="1:25" ht="90.75" customHeight="1">
      <c r="A326" s="226"/>
      <c r="B326" s="420"/>
      <c r="C326" s="346">
        <v>17</v>
      </c>
      <c r="D326" s="347" t="s">
        <v>421</v>
      </c>
      <c r="E326" s="449"/>
      <c r="F326" s="234">
        <v>88</v>
      </c>
      <c r="G326" s="232" t="s">
        <v>422</v>
      </c>
      <c r="H326" s="1117"/>
      <c r="I326" s="1061"/>
      <c r="J326" s="1064"/>
      <c r="K326" s="234" t="s">
        <v>109</v>
      </c>
      <c r="L326" s="235"/>
      <c r="M326" s="235"/>
      <c r="N326" s="235"/>
      <c r="O326" s="235"/>
      <c r="P326" s="235"/>
      <c r="Q326" s="235"/>
      <c r="R326" s="235"/>
      <c r="S326" s="235"/>
      <c r="T326" s="235"/>
      <c r="U326" s="235"/>
      <c r="V326" s="237">
        <f>35000000-8222000+8000000</f>
        <v>34778000</v>
      </c>
      <c r="W326" s="238"/>
      <c r="X326" s="238"/>
      <c r="Y326" s="61">
        <f t="shared" si="111"/>
        <v>34778000</v>
      </c>
    </row>
    <row r="327" spans="1:25" ht="66" customHeight="1">
      <c r="A327" s="226"/>
      <c r="B327" s="420"/>
      <c r="C327" s="234">
        <v>18</v>
      </c>
      <c r="D327" s="232" t="s">
        <v>423</v>
      </c>
      <c r="E327" s="449"/>
      <c r="F327" s="234">
        <v>86</v>
      </c>
      <c r="G327" s="232" t="s">
        <v>424</v>
      </c>
      <c r="H327" s="1117"/>
      <c r="I327" s="1061"/>
      <c r="J327" s="1064"/>
      <c r="K327" s="234" t="s">
        <v>109</v>
      </c>
      <c r="L327" s="235"/>
      <c r="M327" s="235"/>
      <c r="N327" s="235"/>
      <c r="O327" s="450"/>
      <c r="P327" s="235"/>
      <c r="Q327" s="235"/>
      <c r="R327" s="235"/>
      <c r="S327" s="235"/>
      <c r="T327" s="235"/>
      <c r="U327" s="235"/>
      <c r="V327" s="237">
        <f>10000000+5000000-9600000</f>
        <v>5400000</v>
      </c>
      <c r="W327" s="238"/>
      <c r="X327" s="238"/>
      <c r="Y327" s="61">
        <f t="shared" si="111"/>
        <v>5400000</v>
      </c>
    </row>
    <row r="328" spans="1:25" ht="53.25" customHeight="1">
      <c r="A328" s="50"/>
      <c r="B328" s="41"/>
      <c r="C328" s="234">
        <v>19</v>
      </c>
      <c r="D328" s="232" t="s">
        <v>425</v>
      </c>
      <c r="E328" s="370"/>
      <c r="F328" s="54">
        <v>90</v>
      </c>
      <c r="G328" s="52" t="s">
        <v>426</v>
      </c>
      <c r="H328" s="1117"/>
      <c r="I328" s="1061"/>
      <c r="J328" s="1064"/>
      <c r="K328" s="54" t="s">
        <v>109</v>
      </c>
      <c r="L328" s="57"/>
      <c r="M328" s="57"/>
      <c r="N328" s="57"/>
      <c r="O328" s="451"/>
      <c r="P328" s="57"/>
      <c r="Q328" s="57"/>
      <c r="R328" s="57"/>
      <c r="S328" s="57"/>
      <c r="T328" s="57"/>
      <c r="U328" s="57"/>
      <c r="V328" s="59">
        <f>20000000+5000000</f>
        <v>25000000</v>
      </c>
      <c r="W328" s="60"/>
      <c r="X328" s="60"/>
      <c r="Y328" s="61">
        <f t="shared" si="111"/>
        <v>25000000</v>
      </c>
    </row>
    <row r="329" spans="1:25" ht="74.25" customHeight="1">
      <c r="A329" s="50"/>
      <c r="B329" s="41"/>
      <c r="C329" s="234">
        <v>19</v>
      </c>
      <c r="D329" s="232" t="s">
        <v>425</v>
      </c>
      <c r="E329" s="370"/>
      <c r="F329" s="54">
        <v>91</v>
      </c>
      <c r="G329" s="52" t="s">
        <v>427</v>
      </c>
      <c r="H329" s="1117"/>
      <c r="I329" s="1061"/>
      <c r="J329" s="1064"/>
      <c r="K329" s="54" t="s">
        <v>30</v>
      </c>
      <c r="L329" s="57"/>
      <c r="M329" s="57"/>
      <c r="N329" s="57"/>
      <c r="O329" s="57"/>
      <c r="P329" s="57"/>
      <c r="Q329" s="57"/>
      <c r="R329" s="57">
        <f>25000000+18000000</f>
        <v>43000000</v>
      </c>
      <c r="S329" s="57"/>
      <c r="T329" s="57"/>
      <c r="U329" s="57"/>
      <c r="V329" s="59"/>
      <c r="W329" s="60"/>
      <c r="X329" s="60"/>
      <c r="Y329" s="61">
        <f t="shared" si="111"/>
        <v>43000000</v>
      </c>
    </row>
    <row r="330" spans="1:25" ht="18.75" customHeight="1">
      <c r="A330" s="50"/>
      <c r="B330" s="41"/>
      <c r="C330" s="203"/>
      <c r="D330" s="204"/>
      <c r="E330" s="452"/>
      <c r="F330" s="65"/>
      <c r="G330" s="64"/>
      <c r="H330" s="453"/>
      <c r="I330" s="67"/>
      <c r="J330" s="64"/>
      <c r="K330" s="65"/>
      <c r="L330" s="68"/>
      <c r="M330" s="68"/>
      <c r="N330" s="68"/>
      <c r="O330" s="68"/>
      <c r="P330" s="68"/>
      <c r="Q330" s="68"/>
      <c r="R330" s="68">
        <f>SUM(R324:R329)</f>
        <v>68000000</v>
      </c>
      <c r="S330" s="68"/>
      <c r="T330" s="68"/>
      <c r="U330" s="68"/>
      <c r="V330" s="221">
        <f>SUM(V324:V329)</f>
        <v>146778000</v>
      </c>
      <c r="W330" s="221">
        <f>SUM(W324:W329)</f>
        <v>0</v>
      </c>
      <c r="X330" s="221">
        <f>SUM(X324:X329)</f>
        <v>0</v>
      </c>
      <c r="Y330" s="221">
        <f>SUM(Y324:Y329)</f>
        <v>214778000</v>
      </c>
    </row>
    <row r="331" spans="1:25" ht="15">
      <c r="A331" s="50"/>
      <c r="B331" s="50"/>
      <c r="C331" s="87"/>
      <c r="D331" s="86"/>
      <c r="E331" s="86"/>
      <c r="F331" s="87"/>
      <c r="G331" s="86"/>
      <c r="H331" s="270"/>
      <c r="I331" s="271"/>
      <c r="J331" s="146"/>
      <c r="K331" s="87"/>
      <c r="L331" s="90"/>
      <c r="M331" s="90"/>
      <c r="N331" s="90"/>
      <c r="O331" s="90"/>
      <c r="P331" s="90"/>
      <c r="Q331" s="90"/>
      <c r="R331" s="90"/>
      <c r="S331" s="90"/>
      <c r="T331" s="188"/>
      <c r="U331" s="188"/>
      <c r="V331" s="439"/>
      <c r="W331" s="90"/>
      <c r="X331" s="90"/>
      <c r="Y331" s="94"/>
    </row>
    <row r="332" spans="1:25" ht="15">
      <c r="A332" s="50"/>
      <c r="B332" s="50"/>
      <c r="C332" s="256"/>
      <c r="D332" s="232"/>
      <c r="E332" s="107">
        <v>22</v>
      </c>
      <c r="F332" s="109" t="s">
        <v>428</v>
      </c>
      <c r="G332" s="109"/>
      <c r="H332" s="109"/>
      <c r="I332" s="109"/>
      <c r="J332" s="109"/>
      <c r="K332" s="109"/>
      <c r="L332" s="111"/>
      <c r="M332" s="111"/>
      <c r="N332" s="111"/>
      <c r="O332" s="111"/>
      <c r="P332" s="111"/>
      <c r="Q332" s="111"/>
      <c r="R332" s="111"/>
      <c r="S332" s="111"/>
      <c r="T332" s="111"/>
      <c r="U332" s="111"/>
      <c r="V332" s="112"/>
      <c r="W332" s="111"/>
      <c r="X332" s="111"/>
      <c r="Y332" s="286"/>
    </row>
    <row r="333" spans="1:25" ht="136.5" customHeight="1">
      <c r="A333" s="226"/>
      <c r="B333" s="226"/>
      <c r="C333" s="234" t="s">
        <v>429</v>
      </c>
      <c r="D333" s="232" t="s">
        <v>430</v>
      </c>
      <c r="E333" s="232"/>
      <c r="F333" s="234">
        <v>97</v>
      </c>
      <c r="G333" s="232" t="s">
        <v>431</v>
      </c>
      <c r="H333" s="454" t="s">
        <v>400</v>
      </c>
      <c r="I333" s="165" t="s">
        <v>432</v>
      </c>
      <c r="J333" s="232" t="s">
        <v>433</v>
      </c>
      <c r="K333" s="234" t="s">
        <v>109</v>
      </c>
      <c r="L333" s="235"/>
      <c r="M333" s="235"/>
      <c r="N333" s="235"/>
      <c r="O333" s="235"/>
      <c r="P333" s="235"/>
      <c r="Q333" s="455"/>
      <c r="R333" s="456"/>
      <c r="S333" s="455"/>
      <c r="T333" s="455"/>
      <c r="U333" s="235"/>
      <c r="V333" s="237">
        <f>10000000+10000000</f>
        <v>20000000</v>
      </c>
      <c r="W333" s="238"/>
      <c r="X333" s="238"/>
      <c r="Y333" s="61">
        <f t="shared" ref="Y333" si="112">+L333+M333+N333+O333+P333+Q333+R333+S333+T333+U333+V333+W333+X333</f>
        <v>20000000</v>
      </c>
    </row>
    <row r="334" spans="1:25" ht="18.75" customHeight="1">
      <c r="A334" s="50"/>
      <c r="B334" s="63"/>
      <c r="C334" s="256"/>
      <c r="D334" s="232"/>
      <c r="E334" s="65"/>
      <c r="F334" s="65"/>
      <c r="G334" s="64"/>
      <c r="H334" s="453"/>
      <c r="I334" s="67"/>
      <c r="J334" s="64"/>
      <c r="K334" s="65"/>
      <c r="L334" s="68"/>
      <c r="M334" s="68"/>
      <c r="N334" s="68"/>
      <c r="O334" s="68">
        <f t="shared" ref="O334" si="113">SUM(O333)</f>
        <v>0</v>
      </c>
      <c r="P334" s="68"/>
      <c r="Q334" s="68"/>
      <c r="R334" s="68">
        <f t="shared" ref="R334:T334" si="114">SUM(R333)</f>
        <v>0</v>
      </c>
      <c r="S334" s="68">
        <f t="shared" si="114"/>
        <v>0</v>
      </c>
      <c r="T334" s="68">
        <f t="shared" si="114"/>
        <v>0</v>
      </c>
      <c r="U334" s="68"/>
      <c r="V334" s="68">
        <f t="shared" ref="V334:Y334" si="115">SUM(V333)</f>
        <v>20000000</v>
      </c>
      <c r="W334" s="68">
        <f t="shared" si="115"/>
        <v>0</v>
      </c>
      <c r="X334" s="68">
        <f t="shared" si="115"/>
        <v>0</v>
      </c>
      <c r="Y334" s="68">
        <f t="shared" si="115"/>
        <v>20000000</v>
      </c>
    </row>
    <row r="335" spans="1:25" ht="21" customHeight="1">
      <c r="A335" s="50"/>
      <c r="B335" s="142"/>
      <c r="C335" s="71"/>
      <c r="D335" s="70"/>
      <c r="E335" s="70"/>
      <c r="F335" s="71"/>
      <c r="G335" s="70"/>
      <c r="H335" s="445"/>
      <c r="I335" s="73"/>
      <c r="J335" s="70"/>
      <c r="K335" s="71"/>
      <c r="L335" s="74">
        <f t="shared" ref="L335:Y335" si="116">L334+L330</f>
        <v>0</v>
      </c>
      <c r="M335" s="74">
        <f t="shared" si="116"/>
        <v>0</v>
      </c>
      <c r="N335" s="74">
        <f t="shared" si="116"/>
        <v>0</v>
      </c>
      <c r="O335" s="74">
        <f t="shared" si="116"/>
        <v>0</v>
      </c>
      <c r="P335" s="74">
        <f t="shared" si="116"/>
        <v>0</v>
      </c>
      <c r="Q335" s="74">
        <f t="shared" si="116"/>
        <v>0</v>
      </c>
      <c r="R335" s="74">
        <f t="shared" si="116"/>
        <v>68000000</v>
      </c>
      <c r="S335" s="74">
        <f t="shared" si="116"/>
        <v>0</v>
      </c>
      <c r="T335" s="74">
        <f t="shared" si="116"/>
        <v>0</v>
      </c>
      <c r="U335" s="74">
        <f t="shared" si="116"/>
        <v>0</v>
      </c>
      <c r="V335" s="74">
        <f t="shared" si="116"/>
        <v>166778000</v>
      </c>
      <c r="W335" s="74">
        <f t="shared" si="116"/>
        <v>0</v>
      </c>
      <c r="X335" s="74">
        <f t="shared" si="116"/>
        <v>0</v>
      </c>
      <c r="Y335" s="74">
        <f t="shared" si="116"/>
        <v>234778000</v>
      </c>
    </row>
    <row r="336" spans="1:25" ht="15">
      <c r="A336" s="50"/>
      <c r="B336" s="313"/>
      <c r="C336" s="187"/>
      <c r="D336" s="313"/>
      <c r="E336" s="313"/>
      <c r="F336" s="187"/>
      <c r="G336" s="313"/>
      <c r="H336" s="457"/>
      <c r="I336" s="186"/>
      <c r="J336" s="183"/>
      <c r="K336" s="187"/>
      <c r="L336" s="289"/>
      <c r="M336" s="289"/>
      <c r="N336" s="188"/>
      <c r="O336" s="188"/>
      <c r="P336" s="289"/>
      <c r="Q336" s="289"/>
      <c r="R336" s="316"/>
      <c r="S336" s="316"/>
      <c r="T336" s="188"/>
      <c r="U336" s="188"/>
      <c r="V336" s="306"/>
      <c r="W336" s="289"/>
      <c r="X336" s="289"/>
      <c r="Y336" s="94"/>
    </row>
    <row r="337" spans="1:25">
      <c r="A337" s="50"/>
      <c r="B337" s="198">
        <v>7</v>
      </c>
      <c r="C337" s="36" t="s">
        <v>434</v>
      </c>
      <c r="D337" s="37"/>
      <c r="E337" s="37"/>
      <c r="F337" s="38"/>
      <c r="G337" s="37"/>
      <c r="H337" s="37"/>
      <c r="I337" s="39"/>
      <c r="J337" s="37"/>
      <c r="K337" s="37"/>
      <c r="L337" s="102"/>
      <c r="M337" s="102"/>
      <c r="N337" s="102"/>
      <c r="O337" s="102"/>
      <c r="P337" s="102"/>
      <c r="Q337" s="102"/>
      <c r="R337" s="102"/>
      <c r="S337" s="102"/>
      <c r="T337" s="102"/>
      <c r="U337" s="102"/>
      <c r="V337" s="103"/>
      <c r="W337" s="102"/>
      <c r="X337" s="102"/>
      <c r="Y337" s="104"/>
    </row>
    <row r="338" spans="1:25" ht="15">
      <c r="A338" s="50"/>
      <c r="B338" s="101"/>
      <c r="C338" s="87"/>
      <c r="D338" s="86"/>
      <c r="E338" s="351">
        <v>23</v>
      </c>
      <c r="F338" s="109" t="s">
        <v>435</v>
      </c>
      <c r="G338" s="109"/>
      <c r="H338" s="109"/>
      <c r="I338" s="109"/>
      <c r="J338" s="109"/>
      <c r="K338" s="109"/>
      <c r="L338" s="111"/>
      <c r="M338" s="111"/>
      <c r="N338" s="111"/>
      <c r="O338" s="111"/>
      <c r="P338" s="111"/>
      <c r="Q338" s="111"/>
      <c r="R338" s="111"/>
      <c r="S338" s="111"/>
      <c r="T338" s="111"/>
      <c r="U338" s="111"/>
      <c r="V338" s="112"/>
      <c r="W338" s="111"/>
      <c r="X338" s="111"/>
      <c r="Y338" s="113"/>
    </row>
    <row r="339" spans="1:25" ht="93" customHeight="1">
      <c r="A339" s="420"/>
      <c r="B339" s="226"/>
      <c r="C339" s="275">
        <v>17</v>
      </c>
      <c r="D339" s="347" t="s">
        <v>421</v>
      </c>
      <c r="E339" s="276"/>
      <c r="F339" s="234">
        <v>102</v>
      </c>
      <c r="G339" s="232" t="s">
        <v>436</v>
      </c>
      <c r="H339" s="458" t="s">
        <v>400</v>
      </c>
      <c r="I339" s="358" t="s">
        <v>437</v>
      </c>
      <c r="J339" s="268" t="s">
        <v>438</v>
      </c>
      <c r="K339" s="234" t="s">
        <v>109</v>
      </c>
      <c r="L339" s="235"/>
      <c r="M339" s="235"/>
      <c r="N339" s="235"/>
      <c r="O339" s="235"/>
      <c r="P339" s="235"/>
      <c r="Q339" s="238"/>
      <c r="R339" s="459"/>
      <c r="S339" s="459"/>
      <c r="T339" s="235"/>
      <c r="U339" s="235"/>
      <c r="V339" s="237">
        <f>10000000+10000000</f>
        <v>20000000</v>
      </c>
      <c r="W339" s="238"/>
      <c r="X339" s="238"/>
      <c r="Y339" s="61">
        <f t="shared" ref="Y339" si="117">+L339+M339+N339+O339+P339+Q339+R339+S339+T339+U339+V339+W339+X339</f>
        <v>20000000</v>
      </c>
    </row>
    <row r="340" spans="1:25" ht="15">
      <c r="A340" s="41"/>
      <c r="B340" s="50"/>
      <c r="C340" s="460"/>
      <c r="D340" s="232"/>
      <c r="E340" s="64"/>
      <c r="F340" s="65"/>
      <c r="G340" s="64"/>
      <c r="H340" s="453"/>
      <c r="I340" s="67"/>
      <c r="J340" s="64"/>
      <c r="K340" s="65"/>
      <c r="L340" s="68"/>
      <c r="M340" s="68"/>
      <c r="N340" s="68"/>
      <c r="O340" s="68"/>
      <c r="P340" s="68"/>
      <c r="Q340" s="68"/>
      <c r="R340" s="68"/>
      <c r="S340" s="68"/>
      <c r="T340" s="68"/>
      <c r="U340" s="68"/>
      <c r="V340" s="221">
        <f>SUM(V339:V339)</f>
        <v>20000000</v>
      </c>
      <c r="W340" s="221">
        <f>SUM(W339:W339)</f>
        <v>0</v>
      </c>
      <c r="X340" s="68"/>
      <c r="Y340" s="68">
        <f>SUM(Y339:Y339)</f>
        <v>20000000</v>
      </c>
    </row>
    <row r="341" spans="1:25" ht="15">
      <c r="A341" s="41"/>
      <c r="B341" s="50"/>
      <c r="C341" s="87"/>
      <c r="D341" s="86"/>
      <c r="E341" s="86"/>
      <c r="F341" s="87"/>
      <c r="G341" s="86"/>
      <c r="H341" s="270"/>
      <c r="I341" s="271"/>
      <c r="J341" s="146"/>
      <c r="K341" s="87"/>
      <c r="L341" s="90"/>
      <c r="M341" s="90"/>
      <c r="N341" s="90"/>
      <c r="O341" s="90"/>
      <c r="P341" s="90"/>
      <c r="Q341" s="90"/>
      <c r="R341" s="90"/>
      <c r="S341" s="90"/>
      <c r="T341" s="90"/>
      <c r="U341" s="90"/>
      <c r="V341" s="122"/>
      <c r="W341" s="90"/>
      <c r="X341" s="90"/>
      <c r="Y341" s="94"/>
    </row>
    <row r="342" spans="1:25" ht="15">
      <c r="A342" s="41"/>
      <c r="B342" s="50"/>
      <c r="C342" s="160"/>
      <c r="D342" s="138"/>
      <c r="E342" s="107">
        <v>24</v>
      </c>
      <c r="F342" s="109" t="s">
        <v>439</v>
      </c>
      <c r="G342" s="109"/>
      <c r="H342" s="109"/>
      <c r="I342" s="109"/>
      <c r="J342" s="109"/>
      <c r="K342" s="109"/>
      <c r="L342" s="111"/>
      <c r="M342" s="111"/>
      <c r="N342" s="111"/>
      <c r="O342" s="111"/>
      <c r="P342" s="111"/>
      <c r="Q342" s="111"/>
      <c r="R342" s="111"/>
      <c r="S342" s="111"/>
      <c r="T342" s="111"/>
      <c r="U342" s="111"/>
      <c r="V342" s="112"/>
      <c r="W342" s="111"/>
      <c r="X342" s="111"/>
      <c r="Y342" s="113"/>
    </row>
    <row r="343" spans="1:25" s="463" customFormat="1" ht="118.5" customHeight="1">
      <c r="A343" s="420"/>
      <c r="B343" s="420"/>
      <c r="C343" s="162" t="s">
        <v>429</v>
      </c>
      <c r="D343" s="461" t="s">
        <v>430</v>
      </c>
      <c r="E343" s="462"/>
      <c r="F343" s="234">
        <v>104</v>
      </c>
      <c r="G343" s="232" t="s">
        <v>440</v>
      </c>
      <c r="H343" s="1118" t="s">
        <v>400</v>
      </c>
      <c r="I343" s="1100" t="s">
        <v>441</v>
      </c>
      <c r="J343" s="1090" t="s">
        <v>442</v>
      </c>
      <c r="K343" s="234" t="s">
        <v>109</v>
      </c>
      <c r="L343" s="235"/>
      <c r="M343" s="235"/>
      <c r="N343" s="235"/>
      <c r="O343" s="235"/>
      <c r="P343" s="235"/>
      <c r="Q343" s="235"/>
      <c r="R343" s="274"/>
      <c r="S343" s="274"/>
      <c r="T343" s="235"/>
      <c r="U343" s="235"/>
      <c r="V343" s="237">
        <f>20000000+46000000</f>
        <v>66000000</v>
      </c>
      <c r="W343" s="238"/>
      <c r="X343" s="238"/>
      <c r="Y343" s="61">
        <f t="shared" ref="Y343:Y346" si="118">+L343+M343+N343+O343+P343+Q343+R343+S343+T343+U343+V343+W343+X343</f>
        <v>66000000</v>
      </c>
    </row>
    <row r="344" spans="1:25" s="463" customFormat="1" ht="68.25" customHeight="1">
      <c r="A344" s="420"/>
      <c r="B344" s="420"/>
      <c r="C344" s="462">
        <v>18</v>
      </c>
      <c r="D344" s="232" t="s">
        <v>443</v>
      </c>
      <c r="E344" s="462"/>
      <c r="F344" s="234">
        <v>105</v>
      </c>
      <c r="G344" s="232" t="s">
        <v>444</v>
      </c>
      <c r="H344" s="1119"/>
      <c r="I344" s="1061"/>
      <c r="J344" s="1064"/>
      <c r="K344" s="234" t="s">
        <v>30</v>
      </c>
      <c r="L344" s="235"/>
      <c r="M344" s="235"/>
      <c r="N344" s="235"/>
      <c r="O344" s="235"/>
      <c r="P344" s="235"/>
      <c r="Q344" s="235"/>
      <c r="R344" s="274"/>
      <c r="S344" s="274"/>
      <c r="T344" s="235"/>
      <c r="U344" s="235"/>
      <c r="V344" s="237">
        <f>126778000-76778000-46161500</f>
        <v>3838500</v>
      </c>
      <c r="W344" s="238"/>
      <c r="X344" s="238"/>
      <c r="Y344" s="61">
        <f t="shared" si="118"/>
        <v>3838500</v>
      </c>
    </row>
    <row r="345" spans="1:25" s="463" customFormat="1" ht="60" customHeight="1">
      <c r="A345" s="420"/>
      <c r="B345" s="420"/>
      <c r="C345" s="462">
        <v>18</v>
      </c>
      <c r="D345" s="232" t="s">
        <v>443</v>
      </c>
      <c r="E345" s="462"/>
      <c r="F345" s="228">
        <v>106</v>
      </c>
      <c r="G345" s="229" t="s">
        <v>445</v>
      </c>
      <c r="H345" s="1119"/>
      <c r="I345" s="1061"/>
      <c r="J345" s="1064"/>
      <c r="K345" s="228" t="s">
        <v>30</v>
      </c>
      <c r="L345" s="423"/>
      <c r="M345" s="423"/>
      <c r="N345" s="423"/>
      <c r="O345" s="423"/>
      <c r="P345" s="423"/>
      <c r="Q345" s="423"/>
      <c r="R345" s="464"/>
      <c r="S345" s="464"/>
      <c r="T345" s="423"/>
      <c r="U345" s="423"/>
      <c r="V345" s="425">
        <f>30000000+20000000+161500</f>
        <v>50161500</v>
      </c>
      <c r="W345" s="424"/>
      <c r="X345" s="424"/>
      <c r="Y345" s="61">
        <f t="shared" si="118"/>
        <v>50161500</v>
      </c>
    </row>
    <row r="346" spans="1:25" s="463" customFormat="1" ht="84.75" customHeight="1">
      <c r="A346" s="420"/>
      <c r="B346" s="420"/>
      <c r="C346" s="462">
        <v>18</v>
      </c>
      <c r="D346" s="232" t="s">
        <v>443</v>
      </c>
      <c r="E346" s="51"/>
      <c r="F346" s="234">
        <v>107</v>
      </c>
      <c r="G346" s="232" t="s">
        <v>446</v>
      </c>
      <c r="H346" s="465" t="s">
        <v>400</v>
      </c>
      <c r="I346" s="466" t="s">
        <v>447</v>
      </c>
      <c r="J346" s="232" t="s">
        <v>448</v>
      </c>
      <c r="K346" s="234" t="s">
        <v>30</v>
      </c>
      <c r="L346" s="235"/>
      <c r="M346" s="235"/>
      <c r="N346" s="235"/>
      <c r="O346" s="467">
        <v>50000000</v>
      </c>
      <c r="P346" s="235"/>
      <c r="Q346" s="235"/>
      <c r="R346" s="274"/>
      <c r="S346" s="274"/>
      <c r="T346" s="238"/>
      <c r="U346" s="238"/>
      <c r="V346" s="250">
        <f>145000000+5000000</f>
        <v>150000000</v>
      </c>
      <c r="W346" s="235"/>
      <c r="X346" s="235"/>
      <c r="Y346" s="61">
        <f t="shared" si="118"/>
        <v>200000000</v>
      </c>
    </row>
    <row r="347" spans="1:25" s="463" customFormat="1" ht="15">
      <c r="A347" s="41"/>
      <c r="B347" s="63"/>
      <c r="C347" s="339"/>
      <c r="D347" s="204"/>
      <c r="E347" s="468"/>
      <c r="F347" s="469"/>
      <c r="G347" s="468"/>
      <c r="H347" s="470"/>
      <c r="I347" s="471"/>
      <c r="J347" s="468"/>
      <c r="K347" s="469"/>
      <c r="L347" s="472"/>
      <c r="M347" s="472"/>
      <c r="N347" s="472"/>
      <c r="O347" s="472">
        <f>SUM(O343:O346)</f>
        <v>50000000</v>
      </c>
      <c r="P347" s="472"/>
      <c r="Q347" s="472"/>
      <c r="R347" s="472">
        <f>SUM(R343:R346)</f>
        <v>0</v>
      </c>
      <c r="S347" s="472">
        <f>SUM(S343:S346)</f>
        <v>0</v>
      </c>
      <c r="T347" s="472">
        <f>SUM(T343:T346)</f>
        <v>0</v>
      </c>
      <c r="U347" s="472"/>
      <c r="V347" s="472">
        <f>SUM(V343:V346)</f>
        <v>270000000</v>
      </c>
      <c r="W347" s="472">
        <f>SUM(W343:W346)</f>
        <v>0</v>
      </c>
      <c r="X347" s="472">
        <f>SUM(X343:X346)</f>
        <v>0</v>
      </c>
      <c r="Y347" s="472">
        <f>SUM(Y343:Y346)</f>
        <v>320000000</v>
      </c>
    </row>
    <row r="348" spans="1:25" s="463" customFormat="1" ht="15">
      <c r="A348" s="50"/>
      <c r="B348" s="473"/>
      <c r="C348" s="71"/>
      <c r="D348" s="70"/>
      <c r="E348" s="70"/>
      <c r="F348" s="71"/>
      <c r="G348" s="70"/>
      <c r="H348" s="474"/>
      <c r="I348" s="73"/>
      <c r="J348" s="70"/>
      <c r="K348" s="71"/>
      <c r="L348" s="74"/>
      <c r="M348" s="74"/>
      <c r="N348" s="74"/>
      <c r="O348" s="74">
        <f>O347+O340</f>
        <v>50000000</v>
      </c>
      <c r="P348" s="74"/>
      <c r="Q348" s="74"/>
      <c r="R348" s="74">
        <f>R347+R340</f>
        <v>0</v>
      </c>
      <c r="S348" s="74">
        <f>S347+S340</f>
        <v>0</v>
      </c>
      <c r="T348" s="74">
        <f>T347+T340</f>
        <v>0</v>
      </c>
      <c r="U348" s="74"/>
      <c r="V348" s="74">
        <f>V347+V340</f>
        <v>290000000</v>
      </c>
      <c r="W348" s="74">
        <f>W347+W340</f>
        <v>0</v>
      </c>
      <c r="X348" s="74">
        <f>X347+X340</f>
        <v>0</v>
      </c>
      <c r="Y348" s="74">
        <f>Y347+Y340</f>
        <v>340000000</v>
      </c>
    </row>
    <row r="349" spans="1:25" s="463" customFormat="1" ht="15">
      <c r="A349" s="50"/>
      <c r="B349" s="86"/>
      <c r="C349" s="87"/>
      <c r="D349" s="86"/>
      <c r="E349" s="86"/>
      <c r="F349" s="87"/>
      <c r="G349" s="86"/>
      <c r="H349" s="438"/>
      <c r="I349" s="271"/>
      <c r="J349" s="146"/>
      <c r="K349" s="87"/>
      <c r="L349" s="90"/>
      <c r="M349" s="90"/>
      <c r="N349" s="188"/>
      <c r="O349" s="188"/>
      <c r="P349" s="90"/>
      <c r="Q349" s="90"/>
      <c r="R349" s="90"/>
      <c r="S349" s="90"/>
      <c r="T349" s="188"/>
      <c r="U349" s="188"/>
      <c r="V349" s="439"/>
      <c r="W349" s="90"/>
      <c r="X349" s="188"/>
      <c r="Y349" s="475"/>
    </row>
    <row r="350" spans="1:25" s="463" customFormat="1">
      <c r="A350" s="50"/>
      <c r="B350" s="198">
        <v>8</v>
      </c>
      <c r="C350" s="36" t="s">
        <v>449</v>
      </c>
      <c r="D350" s="37"/>
      <c r="E350" s="37"/>
      <c r="F350" s="38"/>
      <c r="G350" s="37"/>
      <c r="H350" s="37"/>
      <c r="I350" s="39"/>
      <c r="J350" s="37"/>
      <c r="K350" s="37"/>
      <c r="L350" s="102"/>
      <c r="M350" s="102"/>
      <c r="N350" s="102"/>
      <c r="O350" s="102"/>
      <c r="P350" s="102"/>
      <c r="Q350" s="102"/>
      <c r="R350" s="102"/>
      <c r="S350" s="102"/>
      <c r="T350" s="102"/>
      <c r="U350" s="102"/>
      <c r="V350" s="103"/>
      <c r="W350" s="102"/>
      <c r="X350" s="102"/>
      <c r="Y350" s="104"/>
    </row>
    <row r="351" spans="1:25" s="463" customFormat="1" ht="15">
      <c r="A351" s="50"/>
      <c r="B351" s="101"/>
      <c r="C351" s="87"/>
      <c r="D351" s="86"/>
      <c r="E351" s="351">
        <v>25</v>
      </c>
      <c r="F351" s="109" t="s">
        <v>450</v>
      </c>
      <c r="G351" s="109"/>
      <c r="H351" s="109"/>
      <c r="I351" s="109"/>
      <c r="J351" s="109"/>
      <c r="K351" s="109"/>
      <c r="L351" s="111"/>
      <c r="M351" s="111"/>
      <c r="N351" s="111"/>
      <c r="O351" s="111"/>
      <c r="P351" s="111"/>
      <c r="Q351" s="111"/>
      <c r="R351" s="111"/>
      <c r="S351" s="111"/>
      <c r="T351" s="111"/>
      <c r="U351" s="111"/>
      <c r="V351" s="112"/>
      <c r="W351" s="111"/>
      <c r="X351" s="111"/>
      <c r="Y351" s="113"/>
    </row>
    <row r="352" spans="1:25" s="463" customFormat="1" ht="114.75" customHeight="1">
      <c r="A352" s="50"/>
      <c r="B352" s="50"/>
      <c r="C352" s="251">
        <v>16</v>
      </c>
      <c r="D352" s="213" t="s">
        <v>451</v>
      </c>
      <c r="E352" s="136"/>
      <c r="F352" s="54">
        <v>108</v>
      </c>
      <c r="G352" s="52" t="s">
        <v>452</v>
      </c>
      <c r="H352" s="1110" t="s">
        <v>400</v>
      </c>
      <c r="I352" s="1076" t="s">
        <v>453</v>
      </c>
      <c r="J352" s="1077" t="s">
        <v>454</v>
      </c>
      <c r="K352" s="54" t="s">
        <v>30</v>
      </c>
      <c r="L352" s="476"/>
      <c r="M352" s="476"/>
      <c r="N352" s="476"/>
      <c r="O352" s="476"/>
      <c r="P352" s="476"/>
      <c r="Q352" s="476"/>
      <c r="R352" s="476"/>
      <c r="S352" s="476"/>
      <c r="T352" s="477"/>
      <c r="U352" s="477"/>
      <c r="V352" s="59">
        <v>10000000</v>
      </c>
      <c r="W352" s="477"/>
      <c r="X352" s="477"/>
      <c r="Y352" s="61">
        <f t="shared" ref="Y352:Y353" si="119">+L352+M352+N352+O352+P352+Q352+R352+S352+T352+U352+V352+W352+X352</f>
        <v>10000000</v>
      </c>
    </row>
    <row r="353" spans="1:25" s="463" customFormat="1" ht="129.75" customHeight="1">
      <c r="A353" s="210"/>
      <c r="B353" s="210"/>
      <c r="C353" s="251">
        <v>16</v>
      </c>
      <c r="D353" s="213" t="s">
        <v>451</v>
      </c>
      <c r="E353" s="478"/>
      <c r="F353" s="162">
        <v>109</v>
      </c>
      <c r="G353" s="213" t="s">
        <v>455</v>
      </c>
      <c r="H353" s="1111"/>
      <c r="I353" s="1079"/>
      <c r="J353" s="1080"/>
      <c r="K353" s="162" t="s">
        <v>30</v>
      </c>
      <c r="L353" s="479"/>
      <c r="M353" s="479"/>
      <c r="N353" s="479"/>
      <c r="O353" s="479"/>
      <c r="P353" s="479"/>
      <c r="Q353" s="479"/>
      <c r="R353" s="479"/>
      <c r="S353" s="479"/>
      <c r="T353" s="480"/>
      <c r="U353" s="480"/>
      <c r="V353" s="216">
        <f>30000000-20000000</f>
        <v>10000000</v>
      </c>
      <c r="W353" s="480"/>
      <c r="X353" s="480"/>
      <c r="Y353" s="61">
        <f t="shared" si="119"/>
        <v>10000000</v>
      </c>
    </row>
    <row r="354" spans="1:25" s="463" customFormat="1" ht="15">
      <c r="A354" s="50"/>
      <c r="B354" s="50"/>
      <c r="C354" s="256"/>
      <c r="D354" s="232"/>
      <c r="E354" s="64"/>
      <c r="F354" s="65"/>
      <c r="G354" s="64"/>
      <c r="H354" s="453"/>
      <c r="I354" s="67"/>
      <c r="J354" s="64"/>
      <c r="K354" s="65"/>
      <c r="L354" s="481"/>
      <c r="M354" s="481"/>
      <c r="N354" s="481"/>
      <c r="O354" s="481"/>
      <c r="P354" s="481"/>
      <c r="Q354" s="481"/>
      <c r="R354" s="481"/>
      <c r="S354" s="481"/>
      <c r="T354" s="481"/>
      <c r="U354" s="481"/>
      <c r="V354" s="436">
        <f t="shared" ref="V354:Y354" si="120">SUM(V352:V353)</f>
        <v>20000000</v>
      </c>
      <c r="W354" s="436">
        <f t="shared" si="120"/>
        <v>0</v>
      </c>
      <c r="X354" s="436">
        <f t="shared" si="120"/>
        <v>0</v>
      </c>
      <c r="Y354" s="436">
        <f t="shared" si="120"/>
        <v>20000000</v>
      </c>
    </row>
    <row r="355" spans="1:25" s="463" customFormat="1" ht="15">
      <c r="A355" s="50"/>
      <c r="B355" s="50"/>
      <c r="C355" s="482"/>
      <c r="D355" s="483"/>
      <c r="E355" s="86"/>
      <c r="F355" s="87"/>
      <c r="G355" s="86"/>
      <c r="H355" s="438"/>
      <c r="I355" s="271"/>
      <c r="J355" s="146"/>
      <c r="K355" s="87"/>
      <c r="L355" s="90"/>
      <c r="M355" s="90"/>
      <c r="N355" s="188"/>
      <c r="O355" s="188"/>
      <c r="P355" s="90"/>
      <c r="Q355" s="90"/>
      <c r="R355" s="90"/>
      <c r="S355" s="90"/>
      <c r="T355" s="188"/>
      <c r="U355" s="188"/>
      <c r="V355" s="306"/>
      <c r="W355" s="90"/>
      <c r="X355" s="90"/>
      <c r="Y355" s="475"/>
    </row>
    <row r="356" spans="1:25" s="463" customFormat="1" ht="15">
      <c r="A356" s="50"/>
      <c r="B356" s="50"/>
      <c r="C356" s="256"/>
      <c r="D356" s="232"/>
      <c r="E356" s="351">
        <v>26</v>
      </c>
      <c r="F356" s="109" t="s">
        <v>456</v>
      </c>
      <c r="G356" s="109"/>
      <c r="H356" s="109"/>
      <c r="I356" s="109"/>
      <c r="J356" s="109"/>
      <c r="K356" s="109"/>
      <c r="L356" s="111"/>
      <c r="M356" s="111"/>
      <c r="N356" s="111"/>
      <c r="O356" s="111"/>
      <c r="P356" s="111"/>
      <c r="Q356" s="111"/>
      <c r="R356" s="111"/>
      <c r="S356" s="111"/>
      <c r="T356" s="111"/>
      <c r="U356" s="111"/>
      <c r="V356" s="112"/>
      <c r="W356" s="111"/>
      <c r="X356" s="111"/>
      <c r="Y356" s="113"/>
    </row>
    <row r="357" spans="1:25" s="463" customFormat="1" ht="124.5" customHeight="1">
      <c r="A357" s="226"/>
      <c r="B357" s="226"/>
      <c r="C357" s="251">
        <v>16</v>
      </c>
      <c r="D357" s="213" t="s">
        <v>451</v>
      </c>
      <c r="E357" s="232"/>
      <c r="F357" s="234">
        <v>110</v>
      </c>
      <c r="G357" s="232" t="s">
        <v>457</v>
      </c>
      <c r="H357" s="484" t="s">
        <v>400</v>
      </c>
      <c r="I357" s="165" t="s">
        <v>458</v>
      </c>
      <c r="J357" s="232" t="s">
        <v>459</v>
      </c>
      <c r="K357" s="234" t="s">
        <v>30</v>
      </c>
      <c r="L357" s="485"/>
      <c r="M357" s="485"/>
      <c r="N357" s="485"/>
      <c r="O357" s="485"/>
      <c r="P357" s="485"/>
      <c r="Q357" s="485"/>
      <c r="R357" s="486">
        <v>700000000</v>
      </c>
      <c r="S357" s="486"/>
      <c r="T357" s="485"/>
      <c r="U357" s="485"/>
      <c r="V357" s="237">
        <f>25000000-25000000</f>
        <v>0</v>
      </c>
      <c r="W357" s="487"/>
      <c r="X357" s="487"/>
      <c r="Y357" s="61">
        <f t="shared" ref="Y357" si="121">+L357+M357+N357+O357+P357+Q357+R357+S357+T357+U357+V357+W357+X357</f>
        <v>700000000</v>
      </c>
    </row>
    <row r="358" spans="1:25" s="463" customFormat="1" ht="15">
      <c r="A358" s="50"/>
      <c r="B358" s="50"/>
      <c r="C358" s="256"/>
      <c r="D358" s="232"/>
      <c r="E358" s="64"/>
      <c r="F358" s="65"/>
      <c r="G358" s="64"/>
      <c r="H358" s="453"/>
      <c r="I358" s="67"/>
      <c r="J358" s="64"/>
      <c r="K358" s="65"/>
      <c r="L358" s="373"/>
      <c r="M358" s="373"/>
      <c r="N358" s="373"/>
      <c r="O358" s="373"/>
      <c r="P358" s="373"/>
      <c r="Q358" s="373"/>
      <c r="R358" s="481">
        <f t="shared" ref="R358:Y358" si="122">SUM(R357)</f>
        <v>700000000</v>
      </c>
      <c r="S358" s="373"/>
      <c r="T358" s="373"/>
      <c r="U358" s="373"/>
      <c r="V358" s="436">
        <f t="shared" si="122"/>
        <v>0</v>
      </c>
      <c r="W358" s="436">
        <f t="shared" si="122"/>
        <v>0</v>
      </c>
      <c r="X358" s="436">
        <f t="shared" si="122"/>
        <v>0</v>
      </c>
      <c r="Y358" s="436">
        <f t="shared" si="122"/>
        <v>700000000</v>
      </c>
    </row>
    <row r="359" spans="1:25" s="463" customFormat="1" ht="15">
      <c r="A359" s="50"/>
      <c r="B359" s="50"/>
      <c r="C359" s="87"/>
      <c r="D359" s="86"/>
      <c r="E359" s="86"/>
      <c r="F359" s="87"/>
      <c r="G359" s="86"/>
      <c r="H359" s="438"/>
      <c r="I359" s="271"/>
      <c r="J359" s="146"/>
      <c r="K359" s="87"/>
      <c r="L359" s="90"/>
      <c r="M359" s="90"/>
      <c r="N359" s="188"/>
      <c r="O359" s="188"/>
      <c r="P359" s="90"/>
      <c r="Q359" s="90"/>
      <c r="R359" s="91"/>
      <c r="S359" s="91"/>
      <c r="T359" s="188"/>
      <c r="U359" s="188"/>
      <c r="V359" s="306"/>
      <c r="W359" s="90"/>
      <c r="X359" s="90"/>
      <c r="Y359" s="475"/>
    </row>
    <row r="360" spans="1:25" s="463" customFormat="1" ht="15">
      <c r="A360" s="50"/>
      <c r="B360" s="50"/>
      <c r="C360" s="51"/>
      <c r="D360" s="52"/>
      <c r="E360" s="351">
        <v>27</v>
      </c>
      <c r="F360" s="109" t="s">
        <v>460</v>
      </c>
      <c r="G360" s="109"/>
      <c r="H360" s="109"/>
      <c r="I360" s="109"/>
      <c r="J360" s="109"/>
      <c r="K360" s="109"/>
      <c r="L360" s="111"/>
      <c r="M360" s="111"/>
      <c r="N360" s="111"/>
      <c r="O360" s="111"/>
      <c r="P360" s="111"/>
      <c r="Q360" s="111"/>
      <c r="R360" s="111"/>
      <c r="S360" s="111"/>
      <c r="T360" s="111"/>
      <c r="U360" s="111"/>
      <c r="V360" s="112"/>
      <c r="W360" s="111"/>
      <c r="X360" s="111"/>
      <c r="Y360" s="113"/>
    </row>
    <row r="361" spans="1:25" ht="78.75" customHeight="1">
      <c r="A361" s="226"/>
      <c r="B361" s="226"/>
      <c r="C361" s="256">
        <v>14</v>
      </c>
      <c r="D361" s="232" t="s">
        <v>461</v>
      </c>
      <c r="E361" s="246"/>
      <c r="F361" s="234">
        <v>111</v>
      </c>
      <c r="G361" s="232" t="s">
        <v>462</v>
      </c>
      <c r="H361" s="488" t="s">
        <v>400</v>
      </c>
      <c r="I361" s="165" t="s">
        <v>463</v>
      </c>
      <c r="J361" s="489" t="s">
        <v>464</v>
      </c>
      <c r="K361" s="234" t="s">
        <v>30</v>
      </c>
      <c r="L361" s="485"/>
      <c r="M361" s="485"/>
      <c r="N361" s="485"/>
      <c r="O361" s="485"/>
      <c r="P361" s="485"/>
      <c r="Q361" s="485"/>
      <c r="R361" s="486">
        <v>3762000000</v>
      </c>
      <c r="S361" s="490"/>
      <c r="T361" s="485"/>
      <c r="U361" s="485"/>
      <c r="V361" s="237"/>
      <c r="W361" s="487"/>
      <c r="X361" s="487"/>
      <c r="Y361" s="61">
        <f t="shared" ref="Y361" si="123">+L361+M361+N361+O361+P361+Q361+R361+S361+T361+U361+V361+W361+X361</f>
        <v>3762000000</v>
      </c>
    </row>
    <row r="362" spans="1:25" ht="15">
      <c r="A362" s="50"/>
      <c r="B362" s="50"/>
      <c r="C362" s="256"/>
      <c r="D362" s="232"/>
      <c r="E362" s="64"/>
      <c r="F362" s="65"/>
      <c r="G362" s="64"/>
      <c r="H362" s="491"/>
      <c r="I362" s="67"/>
      <c r="J362" s="64"/>
      <c r="K362" s="65"/>
      <c r="L362" s="373"/>
      <c r="M362" s="373"/>
      <c r="N362" s="373"/>
      <c r="O362" s="373"/>
      <c r="P362" s="373"/>
      <c r="Q362" s="373"/>
      <c r="R362" s="492">
        <f t="shared" ref="R362" si="124">SUM(R361:R361)</f>
        <v>3762000000</v>
      </c>
      <c r="S362" s="481"/>
      <c r="T362" s="481"/>
      <c r="U362" s="481"/>
      <c r="V362" s="436"/>
      <c r="W362" s="481"/>
      <c r="X362" s="481"/>
      <c r="Y362" s="481">
        <f t="shared" ref="Y362" si="125">SUM(Y361:Y361)</f>
        <v>3762000000</v>
      </c>
    </row>
    <row r="363" spans="1:25" ht="15">
      <c r="A363" s="226"/>
      <c r="B363" s="226"/>
      <c r="C363" s="482"/>
      <c r="D363" s="483"/>
      <c r="E363" s="483"/>
      <c r="F363" s="482"/>
      <c r="G363" s="483"/>
      <c r="H363" s="493"/>
      <c r="I363" s="494"/>
      <c r="J363" s="495"/>
      <c r="K363" s="482"/>
      <c r="L363" s="496"/>
      <c r="M363" s="496"/>
      <c r="N363" s="497"/>
      <c r="O363" s="497"/>
      <c r="P363" s="496"/>
      <c r="Q363" s="496"/>
      <c r="R363" s="496"/>
      <c r="S363" s="496"/>
      <c r="T363" s="497"/>
      <c r="U363" s="497"/>
      <c r="V363" s="498"/>
      <c r="W363" s="496"/>
      <c r="X363" s="496"/>
      <c r="Y363" s="499"/>
    </row>
    <row r="364" spans="1:25" ht="15">
      <c r="A364" s="50"/>
      <c r="B364" s="50"/>
      <c r="C364" s="256"/>
      <c r="D364" s="232"/>
      <c r="E364" s="351">
        <v>28</v>
      </c>
      <c r="F364" s="109" t="s">
        <v>465</v>
      </c>
      <c r="G364" s="109"/>
      <c r="H364" s="109"/>
      <c r="I364" s="109"/>
      <c r="J364" s="109"/>
      <c r="K364" s="109"/>
      <c r="L364" s="111"/>
      <c r="M364" s="111"/>
      <c r="N364" s="111"/>
      <c r="O364" s="111"/>
      <c r="P364" s="111"/>
      <c r="Q364" s="111"/>
      <c r="R364" s="111"/>
      <c r="S364" s="111"/>
      <c r="T364" s="111"/>
      <c r="U364" s="111"/>
      <c r="V364" s="112"/>
      <c r="W364" s="111"/>
      <c r="X364" s="111"/>
      <c r="Y364" s="113"/>
    </row>
    <row r="365" spans="1:25" ht="56.25" customHeight="1">
      <c r="A365" s="226"/>
      <c r="B365" s="226"/>
      <c r="C365" s="256">
        <v>14</v>
      </c>
      <c r="D365" s="232" t="s">
        <v>461</v>
      </c>
      <c r="E365" s="246"/>
      <c r="F365" s="234">
        <v>112</v>
      </c>
      <c r="G365" s="232" t="s">
        <v>466</v>
      </c>
      <c r="H365" s="1112" t="s">
        <v>400</v>
      </c>
      <c r="I365" s="1114" t="s">
        <v>467</v>
      </c>
      <c r="J365" s="1094" t="s">
        <v>468</v>
      </c>
      <c r="K365" s="234" t="s">
        <v>109</v>
      </c>
      <c r="L365" s="485"/>
      <c r="M365" s="485"/>
      <c r="N365" s="485"/>
      <c r="O365" s="500"/>
      <c r="P365" s="485"/>
      <c r="Q365" s="485"/>
      <c r="R365" s="501"/>
      <c r="S365" s="502"/>
      <c r="T365" s="485"/>
      <c r="U365" s="485"/>
      <c r="V365" s="237">
        <f>25000000-20000000</f>
        <v>5000000</v>
      </c>
      <c r="W365" s="487"/>
      <c r="X365" s="487"/>
      <c r="Y365" s="61">
        <f t="shared" ref="Y365:Y366" si="126">+L365+M365+N365+O365+P365+Q365+R365+S365+T365+U365+V365+W365+X365</f>
        <v>5000000</v>
      </c>
    </row>
    <row r="366" spans="1:25" ht="73.5" customHeight="1">
      <c r="A366" s="226"/>
      <c r="B366" s="226"/>
      <c r="C366" s="256">
        <v>14</v>
      </c>
      <c r="D366" s="232" t="s">
        <v>461</v>
      </c>
      <c r="E366" s="276"/>
      <c r="F366" s="234">
        <v>113</v>
      </c>
      <c r="G366" s="232" t="s">
        <v>469</v>
      </c>
      <c r="H366" s="1113"/>
      <c r="I366" s="1115"/>
      <c r="J366" s="1091"/>
      <c r="K366" s="234" t="s">
        <v>109</v>
      </c>
      <c r="L366" s="485"/>
      <c r="M366" s="485"/>
      <c r="N366" s="503"/>
      <c r="O366" s="504"/>
      <c r="P366" s="485"/>
      <c r="Q366" s="485"/>
      <c r="R366" s="236"/>
      <c r="S366" s="236"/>
      <c r="T366" s="485"/>
      <c r="U366" s="485"/>
      <c r="V366" s="237">
        <f>25000000+10000000</f>
        <v>35000000</v>
      </c>
      <c r="W366" s="487"/>
      <c r="X366" s="487"/>
      <c r="Y366" s="61">
        <f t="shared" si="126"/>
        <v>35000000</v>
      </c>
    </row>
    <row r="367" spans="1:25" s="510" customFormat="1" ht="20.25">
      <c r="A367" s="505"/>
      <c r="B367" s="506"/>
      <c r="C367" s="256"/>
      <c r="D367" s="507"/>
      <c r="E367" s="508"/>
      <c r="F367" s="65"/>
      <c r="G367" s="508"/>
      <c r="H367" s="509"/>
      <c r="I367" s="67"/>
      <c r="J367" s="508"/>
      <c r="K367" s="508"/>
      <c r="L367" s="481"/>
      <c r="M367" s="481"/>
      <c r="N367" s="481"/>
      <c r="O367" s="481">
        <f t="shared" ref="O367" si="127">SUM(O365:O366)</f>
        <v>0</v>
      </c>
      <c r="P367" s="481"/>
      <c r="Q367" s="481"/>
      <c r="R367" s="481">
        <f t="shared" ref="R367:T367" si="128">SUM(R365:R366)</f>
        <v>0</v>
      </c>
      <c r="S367" s="481">
        <f t="shared" si="128"/>
        <v>0</v>
      </c>
      <c r="T367" s="481">
        <f t="shared" si="128"/>
        <v>0</v>
      </c>
      <c r="U367" s="481"/>
      <c r="V367" s="481">
        <f t="shared" ref="V367:Y367" si="129">SUM(V365:V366)</f>
        <v>40000000</v>
      </c>
      <c r="W367" s="481">
        <f t="shared" si="129"/>
        <v>0</v>
      </c>
      <c r="X367" s="481">
        <f t="shared" si="129"/>
        <v>0</v>
      </c>
      <c r="Y367" s="481">
        <f t="shared" si="129"/>
        <v>40000000</v>
      </c>
    </row>
    <row r="368" spans="1:25" s="515" customFormat="1" ht="15">
      <c r="A368" s="505"/>
      <c r="B368" s="511"/>
      <c r="C368" s="71"/>
      <c r="D368" s="512"/>
      <c r="E368" s="512"/>
      <c r="F368" s="71"/>
      <c r="G368" s="512"/>
      <c r="H368" s="513"/>
      <c r="I368" s="73"/>
      <c r="J368" s="512"/>
      <c r="K368" s="512"/>
      <c r="L368" s="514"/>
      <c r="M368" s="514"/>
      <c r="N368" s="514"/>
      <c r="O368" s="514">
        <f t="shared" ref="O368" si="130">O367+O362+O358+O354</f>
        <v>0</v>
      </c>
      <c r="P368" s="514"/>
      <c r="Q368" s="514"/>
      <c r="R368" s="514">
        <f t="shared" ref="R368:T368" si="131">R367+R362+R358+R354</f>
        <v>4462000000</v>
      </c>
      <c r="S368" s="514">
        <f t="shared" si="131"/>
        <v>0</v>
      </c>
      <c r="T368" s="514">
        <f t="shared" si="131"/>
        <v>0</v>
      </c>
      <c r="U368" s="514"/>
      <c r="V368" s="514">
        <f t="shared" ref="V368:Y368" si="132">V367+V362+V358+V354</f>
        <v>60000000</v>
      </c>
      <c r="W368" s="514">
        <f t="shared" si="132"/>
        <v>0</v>
      </c>
      <c r="X368" s="514">
        <f t="shared" si="132"/>
        <v>0</v>
      </c>
      <c r="Y368" s="514">
        <f t="shared" si="132"/>
        <v>4522000000</v>
      </c>
    </row>
    <row r="369" spans="1:25" ht="15">
      <c r="A369" s="50"/>
      <c r="B369" s="86"/>
      <c r="C369" s="87"/>
      <c r="D369" s="86"/>
      <c r="E369" s="86"/>
      <c r="F369" s="87"/>
      <c r="G369" s="86"/>
      <c r="H369" s="438"/>
      <c r="I369" s="271"/>
      <c r="J369" s="146"/>
      <c r="K369" s="87"/>
      <c r="L369" s="90"/>
      <c r="M369" s="90"/>
      <c r="N369" s="188"/>
      <c r="O369" s="188"/>
      <c r="P369" s="90"/>
      <c r="Q369" s="90"/>
      <c r="R369" s="90"/>
      <c r="S369" s="90"/>
      <c r="T369" s="188"/>
      <c r="U369" s="188"/>
      <c r="V369" s="306"/>
      <c r="W369" s="90"/>
      <c r="X369" s="90"/>
      <c r="Y369" s="94"/>
    </row>
    <row r="370" spans="1:25">
      <c r="A370" s="50"/>
      <c r="B370" s="198">
        <v>16</v>
      </c>
      <c r="C370" s="36" t="s">
        <v>470</v>
      </c>
      <c r="D370" s="37"/>
      <c r="E370" s="37"/>
      <c r="F370" s="38"/>
      <c r="G370" s="37"/>
      <c r="H370" s="37"/>
      <c r="I370" s="39"/>
      <c r="J370" s="37"/>
      <c r="K370" s="37"/>
      <c r="L370" s="102"/>
      <c r="M370" s="102"/>
      <c r="N370" s="102"/>
      <c r="O370" s="102"/>
      <c r="P370" s="102"/>
      <c r="Q370" s="102"/>
      <c r="R370" s="102"/>
      <c r="S370" s="102"/>
      <c r="T370" s="102"/>
      <c r="U370" s="102"/>
      <c r="V370" s="103"/>
      <c r="W370" s="102"/>
      <c r="X370" s="102"/>
      <c r="Y370" s="104"/>
    </row>
    <row r="371" spans="1:25" ht="15">
      <c r="A371" s="50"/>
      <c r="B371" s="101"/>
      <c r="C371" s="87"/>
      <c r="D371" s="86"/>
      <c r="E371" s="351">
        <v>57</v>
      </c>
      <c r="F371" s="109" t="s">
        <v>471</v>
      </c>
      <c r="G371" s="109"/>
      <c r="H371" s="109"/>
      <c r="I371" s="109"/>
      <c r="J371" s="109"/>
      <c r="K371" s="109"/>
      <c r="L371" s="111"/>
      <c r="M371" s="111"/>
      <c r="N371" s="111"/>
      <c r="O371" s="111"/>
      <c r="P371" s="111"/>
      <c r="Q371" s="111"/>
      <c r="R371" s="111"/>
      <c r="S371" s="111"/>
      <c r="T371" s="111"/>
      <c r="U371" s="111"/>
      <c r="V371" s="112"/>
      <c r="W371" s="111"/>
      <c r="X371" s="111"/>
      <c r="Y371" s="113"/>
    </row>
    <row r="372" spans="1:25" ht="79.5" customHeight="1">
      <c r="A372" s="226"/>
      <c r="B372" s="226"/>
      <c r="C372" s="275">
        <v>14</v>
      </c>
      <c r="D372" s="213" t="s">
        <v>273</v>
      </c>
      <c r="E372" s="232"/>
      <c r="F372" s="234">
        <v>182</v>
      </c>
      <c r="G372" s="232" t="s">
        <v>472</v>
      </c>
      <c r="H372" s="269" t="s">
        <v>400</v>
      </c>
      <c r="I372" s="165" t="s">
        <v>473</v>
      </c>
      <c r="J372" s="232" t="s">
        <v>474</v>
      </c>
      <c r="K372" s="234" t="s">
        <v>30</v>
      </c>
      <c r="L372" s="235"/>
      <c r="M372" s="235"/>
      <c r="N372" s="235"/>
      <c r="O372" s="235"/>
      <c r="P372" s="235"/>
      <c r="Q372" s="235"/>
      <c r="R372" s="235"/>
      <c r="S372" s="235"/>
      <c r="T372" s="235"/>
      <c r="U372" s="235"/>
      <c r="V372" s="434">
        <f>25000000-5000000</f>
        <v>20000000</v>
      </c>
      <c r="W372" s="238"/>
      <c r="X372" s="238"/>
      <c r="Y372" s="61">
        <f t="shared" ref="Y372" si="133">+L372+M372+N372+O372+P372+Q372+R372+S372+T372+U372+V372+W372+X372</f>
        <v>20000000</v>
      </c>
    </row>
    <row r="373" spans="1:25" ht="19.5" customHeight="1">
      <c r="A373" s="50"/>
      <c r="B373" s="63"/>
      <c r="C373" s="516"/>
      <c r="D373" s="517"/>
      <c r="E373" s="64"/>
      <c r="F373" s="65"/>
      <c r="G373" s="64"/>
      <c r="H373" s="435"/>
      <c r="I373" s="67"/>
      <c r="J373" s="64"/>
      <c r="K373" s="65"/>
      <c r="L373" s="68"/>
      <c r="M373" s="68"/>
      <c r="N373" s="68"/>
      <c r="O373" s="68">
        <f t="shared" ref="O373" si="134">SUM(O372)</f>
        <v>0</v>
      </c>
      <c r="P373" s="68"/>
      <c r="Q373" s="68"/>
      <c r="R373" s="68">
        <f t="shared" ref="R373:Y373" si="135">SUM(R372)</f>
        <v>0</v>
      </c>
      <c r="S373" s="68">
        <f t="shared" si="135"/>
        <v>0</v>
      </c>
      <c r="T373" s="68">
        <f t="shared" si="135"/>
        <v>0</v>
      </c>
      <c r="U373" s="68">
        <f t="shared" si="135"/>
        <v>0</v>
      </c>
      <c r="V373" s="68">
        <f t="shared" si="135"/>
        <v>20000000</v>
      </c>
      <c r="W373" s="68">
        <f t="shared" si="135"/>
        <v>0</v>
      </c>
      <c r="X373" s="68">
        <f t="shared" si="135"/>
        <v>0</v>
      </c>
      <c r="Y373" s="68">
        <f t="shared" si="135"/>
        <v>20000000</v>
      </c>
    </row>
    <row r="374" spans="1:25" ht="23.25" customHeight="1">
      <c r="A374" s="62"/>
      <c r="B374" s="518"/>
      <c r="C374" s="519"/>
      <c r="D374" s="520"/>
      <c r="E374" s="70"/>
      <c r="F374" s="71"/>
      <c r="G374" s="70"/>
      <c r="H374" s="445"/>
      <c r="I374" s="73"/>
      <c r="J374" s="70"/>
      <c r="K374" s="71"/>
      <c r="L374" s="74"/>
      <c r="M374" s="74"/>
      <c r="N374" s="74"/>
      <c r="O374" s="74">
        <f t="shared" ref="O374" si="136">O373</f>
        <v>0</v>
      </c>
      <c r="P374" s="74"/>
      <c r="Q374" s="74"/>
      <c r="R374" s="74">
        <f t="shared" ref="R374:Y374" si="137">R373</f>
        <v>0</v>
      </c>
      <c r="S374" s="74">
        <f t="shared" si="137"/>
        <v>0</v>
      </c>
      <c r="T374" s="74">
        <f t="shared" si="137"/>
        <v>0</v>
      </c>
      <c r="U374" s="74">
        <f t="shared" si="137"/>
        <v>0</v>
      </c>
      <c r="V374" s="74">
        <f t="shared" si="137"/>
        <v>20000000</v>
      </c>
      <c r="W374" s="74">
        <f t="shared" si="137"/>
        <v>0</v>
      </c>
      <c r="X374" s="74">
        <f t="shared" si="137"/>
        <v>0</v>
      </c>
      <c r="Y374" s="74">
        <f t="shared" si="137"/>
        <v>20000000</v>
      </c>
    </row>
    <row r="375" spans="1:25" ht="23.25" customHeight="1">
      <c r="A375" s="75"/>
      <c r="B375" s="521"/>
      <c r="C375" s="522"/>
      <c r="D375" s="521"/>
      <c r="E375" s="75"/>
      <c r="F375" s="76"/>
      <c r="G375" s="75"/>
      <c r="H375" s="523"/>
      <c r="I375" s="78"/>
      <c r="J375" s="75"/>
      <c r="K375" s="76"/>
      <c r="L375" s="79"/>
      <c r="M375" s="79"/>
      <c r="N375" s="79"/>
      <c r="O375" s="79">
        <f>O374+O368+O348+O335+O320</f>
        <v>2599543380</v>
      </c>
      <c r="P375" s="79"/>
      <c r="Q375" s="79"/>
      <c r="R375" s="79">
        <f t="shared" ref="R375:Y375" si="138">R374+R368+R348+R335+R320</f>
        <v>134430000000</v>
      </c>
      <c r="S375" s="79">
        <f t="shared" si="138"/>
        <v>23500000000</v>
      </c>
      <c r="T375" s="79">
        <f t="shared" si="138"/>
        <v>12150000000</v>
      </c>
      <c r="U375" s="79">
        <f t="shared" si="138"/>
        <v>0</v>
      </c>
      <c r="V375" s="79">
        <f t="shared" si="138"/>
        <v>2993641000</v>
      </c>
      <c r="W375" s="79">
        <f t="shared" si="138"/>
        <v>0</v>
      </c>
      <c r="X375" s="79">
        <f t="shared" si="138"/>
        <v>0</v>
      </c>
      <c r="Y375" s="79">
        <f t="shared" si="138"/>
        <v>175673184380</v>
      </c>
    </row>
    <row r="376" spans="1:25" ht="21.75" customHeight="1">
      <c r="A376" s="80"/>
      <c r="B376" s="80"/>
      <c r="C376" s="81"/>
      <c r="D376" s="80"/>
      <c r="E376" s="80"/>
      <c r="F376" s="81"/>
      <c r="G376" s="80"/>
      <c r="H376" s="82"/>
      <c r="I376" s="83"/>
      <c r="J376" s="80"/>
      <c r="K376" s="81"/>
      <c r="L376" s="84"/>
      <c r="M376" s="84"/>
      <c r="N376" s="84"/>
      <c r="O376" s="84">
        <f t="shared" ref="O376" si="139">+O375</f>
        <v>2599543380</v>
      </c>
      <c r="P376" s="84"/>
      <c r="Q376" s="84"/>
      <c r="R376" s="84">
        <f t="shared" ref="R376:Y376" si="140">+R375</f>
        <v>134430000000</v>
      </c>
      <c r="S376" s="84">
        <f t="shared" si="140"/>
        <v>23500000000</v>
      </c>
      <c r="T376" s="84">
        <f t="shared" si="140"/>
        <v>12150000000</v>
      </c>
      <c r="U376" s="84">
        <f t="shared" si="140"/>
        <v>0</v>
      </c>
      <c r="V376" s="84">
        <f t="shared" si="140"/>
        <v>2993641000</v>
      </c>
      <c r="W376" s="84">
        <f t="shared" si="140"/>
        <v>0</v>
      </c>
      <c r="X376" s="84">
        <f t="shared" si="140"/>
        <v>0</v>
      </c>
      <c r="Y376" s="84">
        <f t="shared" si="140"/>
        <v>175673184380</v>
      </c>
    </row>
    <row r="377" spans="1:25" ht="26.25" customHeight="1">
      <c r="A377" s="85"/>
      <c r="B377" s="86"/>
      <c r="C377" s="87"/>
      <c r="D377" s="86"/>
      <c r="E377" s="86"/>
      <c r="F377" s="87"/>
      <c r="G377" s="86"/>
      <c r="H377" s="88"/>
      <c r="I377" s="89"/>
      <c r="J377" s="86"/>
      <c r="K377" s="87"/>
      <c r="L377" s="90"/>
      <c r="M377" s="90"/>
      <c r="N377" s="90"/>
      <c r="O377" s="90"/>
      <c r="P377" s="90"/>
      <c r="Q377" s="90"/>
      <c r="R377" s="91"/>
      <c r="S377" s="91"/>
      <c r="T377" s="90"/>
      <c r="U377" s="90"/>
      <c r="V377" s="524"/>
      <c r="W377" s="90"/>
      <c r="X377" s="90"/>
      <c r="Y377" s="57"/>
    </row>
    <row r="378" spans="1:25" ht="20.25" customHeight="1">
      <c r="A378" s="23" t="s">
        <v>475</v>
      </c>
      <c r="B378" s="24"/>
      <c r="C378" s="25"/>
      <c r="D378" s="24"/>
      <c r="E378" s="24"/>
      <c r="F378" s="25"/>
      <c r="G378" s="24"/>
      <c r="H378" s="24"/>
      <c r="I378" s="26"/>
      <c r="J378" s="24"/>
      <c r="K378" s="25"/>
      <c r="L378" s="95"/>
      <c r="M378" s="95"/>
      <c r="N378" s="95"/>
      <c r="O378" s="95"/>
      <c r="P378" s="95"/>
      <c r="Q378" s="95"/>
      <c r="R378" s="95"/>
      <c r="S378" s="95"/>
      <c r="T378" s="95"/>
      <c r="U378" s="95"/>
      <c r="V378" s="96"/>
      <c r="W378" s="95"/>
      <c r="X378" s="95"/>
      <c r="Y378" s="525" t="s">
        <v>186</v>
      </c>
    </row>
    <row r="379" spans="1:25" ht="15.75" customHeight="1">
      <c r="A379" s="11">
        <v>3</v>
      </c>
      <c r="B379" s="30" t="s">
        <v>255</v>
      </c>
      <c r="C379" s="31"/>
      <c r="D379" s="30"/>
      <c r="E379" s="30"/>
      <c r="F379" s="31"/>
      <c r="G379" s="30"/>
      <c r="H379" s="30"/>
      <c r="I379" s="32"/>
      <c r="J379" s="30"/>
      <c r="K379" s="30"/>
      <c r="L379" s="98"/>
      <c r="M379" s="98"/>
      <c r="N379" s="98"/>
      <c r="O379" s="98"/>
      <c r="P379" s="98"/>
      <c r="Q379" s="98"/>
      <c r="R379" s="98"/>
      <c r="S379" s="98"/>
      <c r="T379" s="98"/>
      <c r="U379" s="98"/>
      <c r="V379" s="99"/>
      <c r="W379" s="98"/>
      <c r="X379" s="98"/>
      <c r="Y379" s="526"/>
    </row>
    <row r="380" spans="1:25" ht="15.75" customHeight="1">
      <c r="A380" s="101"/>
      <c r="B380" s="198">
        <v>16</v>
      </c>
      <c r="C380" s="36" t="s">
        <v>470</v>
      </c>
      <c r="D380" s="37"/>
      <c r="E380" s="37"/>
      <c r="F380" s="38"/>
      <c r="G380" s="37"/>
      <c r="H380" s="37"/>
      <c r="I380" s="39"/>
      <c r="J380" s="37"/>
      <c r="K380" s="37"/>
      <c r="L380" s="102"/>
      <c r="M380" s="102"/>
      <c r="N380" s="102"/>
      <c r="O380" s="102"/>
      <c r="P380" s="102"/>
      <c r="Q380" s="102"/>
      <c r="R380" s="102"/>
      <c r="S380" s="102"/>
      <c r="T380" s="102"/>
      <c r="U380" s="102"/>
      <c r="V380" s="103"/>
      <c r="W380" s="102"/>
      <c r="X380" s="102"/>
      <c r="Y380" s="527"/>
    </row>
    <row r="381" spans="1:25" ht="15" customHeight="1">
      <c r="A381" s="50"/>
      <c r="B381" s="528"/>
      <c r="C381" s="87"/>
      <c r="D381" s="86"/>
      <c r="E381" s="351">
        <v>56</v>
      </c>
      <c r="F381" s="109" t="s">
        <v>476</v>
      </c>
      <c r="G381" s="109"/>
      <c r="H381" s="109"/>
      <c r="I381" s="109"/>
      <c r="J381" s="109"/>
      <c r="K381" s="109"/>
      <c r="L381" s="111"/>
      <c r="M381" s="111"/>
      <c r="N381" s="111"/>
      <c r="O381" s="111"/>
      <c r="P381" s="111"/>
      <c r="Q381" s="111"/>
      <c r="R381" s="111"/>
      <c r="S381" s="111"/>
      <c r="T381" s="111"/>
      <c r="U381" s="111"/>
      <c r="V381" s="112"/>
      <c r="W381" s="111"/>
      <c r="X381" s="111"/>
      <c r="Y381" s="529"/>
    </row>
    <row r="382" spans="1:25" ht="69.75" customHeight="1">
      <c r="A382" s="50"/>
      <c r="B382" s="101"/>
      <c r="C382" s="251">
        <v>29</v>
      </c>
      <c r="D382" s="52" t="s">
        <v>477</v>
      </c>
      <c r="E382" s="136"/>
      <c r="F382" s="54">
        <v>180</v>
      </c>
      <c r="G382" s="52" t="s">
        <v>478</v>
      </c>
      <c r="H382" s="1077" t="s">
        <v>479</v>
      </c>
      <c r="I382" s="1076" t="s">
        <v>480</v>
      </c>
      <c r="J382" s="1077" t="s">
        <v>481</v>
      </c>
      <c r="K382" s="54" t="s">
        <v>30</v>
      </c>
      <c r="L382" s="57"/>
      <c r="M382" s="57"/>
      <c r="N382" s="57"/>
      <c r="O382" s="57"/>
      <c r="P382" s="57"/>
      <c r="Q382" s="57"/>
      <c r="R382" s="57"/>
      <c r="S382" s="57"/>
      <c r="T382" s="60"/>
      <c r="U382" s="60"/>
      <c r="V382" s="59">
        <v>50000000</v>
      </c>
      <c r="W382" s="60"/>
      <c r="X382" s="60"/>
      <c r="Y382" s="61">
        <f t="shared" ref="Y382:Y383" si="141">+L382+M382+N382+O382+P382+Q382+R382+S382+T382+U382+V382+W382+X382</f>
        <v>50000000</v>
      </c>
    </row>
    <row r="383" spans="1:25" ht="71.25" customHeight="1">
      <c r="A383" s="50"/>
      <c r="B383" s="63"/>
      <c r="C383" s="530">
        <v>30</v>
      </c>
      <c r="D383" s="52" t="s">
        <v>482</v>
      </c>
      <c r="E383" s="62"/>
      <c r="F383" s="54">
        <v>181</v>
      </c>
      <c r="G383" s="52" t="s">
        <v>483</v>
      </c>
      <c r="H383" s="1080"/>
      <c r="I383" s="1079"/>
      <c r="J383" s="1080"/>
      <c r="K383" s="54" t="s">
        <v>30</v>
      </c>
      <c r="L383" s="57"/>
      <c r="M383" s="57"/>
      <c r="N383" s="57"/>
      <c r="O383" s="57"/>
      <c r="P383" s="57"/>
      <c r="Q383" s="57"/>
      <c r="R383" s="57"/>
      <c r="S383" s="57"/>
      <c r="T383" s="60"/>
      <c r="U383" s="60"/>
      <c r="V383" s="59">
        <v>30000000</v>
      </c>
      <c r="W383" s="60"/>
      <c r="X383" s="60"/>
      <c r="Y383" s="61">
        <f t="shared" si="141"/>
        <v>30000000</v>
      </c>
    </row>
    <row r="384" spans="1:25" ht="15" customHeight="1">
      <c r="A384" s="50"/>
      <c r="B384" s="528"/>
      <c r="C384" s="516"/>
      <c r="D384" s="232"/>
      <c r="E384" s="64"/>
      <c r="F384" s="65"/>
      <c r="G384" s="64"/>
      <c r="H384" s="65"/>
      <c r="I384" s="67"/>
      <c r="J384" s="64"/>
      <c r="K384" s="65"/>
      <c r="L384" s="68"/>
      <c r="M384" s="68"/>
      <c r="N384" s="68"/>
      <c r="O384" s="68"/>
      <c r="P384" s="68"/>
      <c r="Q384" s="68"/>
      <c r="R384" s="68"/>
      <c r="S384" s="68"/>
      <c r="T384" s="68"/>
      <c r="U384" s="68"/>
      <c r="V384" s="221">
        <f t="shared" ref="V384:Y384" si="142">SUM(V382:V383)</f>
        <v>80000000</v>
      </c>
      <c r="W384" s="221">
        <f t="shared" si="142"/>
        <v>0</v>
      </c>
      <c r="X384" s="221">
        <f t="shared" si="142"/>
        <v>0</v>
      </c>
      <c r="Y384" s="221">
        <f t="shared" si="142"/>
        <v>80000000</v>
      </c>
    </row>
    <row r="385" spans="1:25" ht="15" customHeight="1">
      <c r="A385" s="50"/>
      <c r="B385" s="518"/>
      <c r="C385" s="519"/>
      <c r="D385" s="70"/>
      <c r="E385" s="70"/>
      <c r="F385" s="71"/>
      <c r="G385" s="70"/>
      <c r="H385" s="71"/>
      <c r="I385" s="73"/>
      <c r="J385" s="70"/>
      <c r="K385" s="71"/>
      <c r="L385" s="74"/>
      <c r="M385" s="74"/>
      <c r="N385" s="74"/>
      <c r="O385" s="74"/>
      <c r="P385" s="74"/>
      <c r="Q385" s="74"/>
      <c r="R385" s="74"/>
      <c r="S385" s="74"/>
      <c r="T385" s="74"/>
      <c r="U385" s="74"/>
      <c r="V385" s="222">
        <f t="shared" ref="V385:Y385" si="143">V384</f>
        <v>80000000</v>
      </c>
      <c r="W385" s="222">
        <f t="shared" si="143"/>
        <v>0</v>
      </c>
      <c r="X385" s="222">
        <f t="shared" si="143"/>
        <v>0</v>
      </c>
      <c r="Y385" s="222">
        <f t="shared" si="143"/>
        <v>80000000</v>
      </c>
    </row>
    <row r="386" spans="1:25" ht="15" customHeight="1">
      <c r="A386" s="50"/>
      <c r="B386" s="531"/>
      <c r="C386" s="532"/>
      <c r="D386" s="86"/>
      <c r="E386" s="86"/>
      <c r="F386" s="87"/>
      <c r="G386" s="86"/>
      <c r="H386" s="87"/>
      <c r="I386" s="89"/>
      <c r="J386" s="86"/>
      <c r="K386" s="87"/>
      <c r="L386" s="90"/>
      <c r="M386" s="90"/>
      <c r="N386" s="90"/>
      <c r="O386" s="90"/>
      <c r="P386" s="90"/>
      <c r="Q386" s="90"/>
      <c r="R386" s="91"/>
      <c r="S386" s="91"/>
      <c r="T386" s="90"/>
      <c r="U386" s="90"/>
      <c r="V386" s="122"/>
      <c r="W386" s="90"/>
      <c r="X386" s="90"/>
      <c r="Y386" s="94"/>
    </row>
    <row r="387" spans="1:25" ht="15.75" customHeight="1">
      <c r="A387" s="50"/>
      <c r="B387" s="198">
        <v>17</v>
      </c>
      <c r="C387" s="36" t="s">
        <v>484</v>
      </c>
      <c r="D387" s="37"/>
      <c r="E387" s="37"/>
      <c r="F387" s="38"/>
      <c r="G387" s="37"/>
      <c r="H387" s="37"/>
      <c r="I387" s="39"/>
      <c r="J387" s="37"/>
      <c r="K387" s="37"/>
      <c r="L387" s="102"/>
      <c r="M387" s="102"/>
      <c r="N387" s="102"/>
      <c r="O387" s="102"/>
      <c r="P387" s="102"/>
      <c r="Q387" s="102"/>
      <c r="R387" s="102"/>
      <c r="S387" s="102"/>
      <c r="T387" s="102"/>
      <c r="U387" s="102"/>
      <c r="V387" s="103"/>
      <c r="W387" s="102"/>
      <c r="X387" s="102"/>
      <c r="Y387" s="104"/>
    </row>
    <row r="388" spans="1:25" ht="15" customHeight="1">
      <c r="A388" s="50"/>
      <c r="B388" s="533"/>
      <c r="C388" s="534"/>
      <c r="D388" s="52"/>
      <c r="E388" s="351">
        <v>58</v>
      </c>
      <c r="F388" s="109" t="s">
        <v>485</v>
      </c>
      <c r="G388" s="109"/>
      <c r="H388" s="109"/>
      <c r="I388" s="109"/>
      <c r="J388" s="109"/>
      <c r="K388" s="109"/>
      <c r="L388" s="111"/>
      <c r="M388" s="111"/>
      <c r="N388" s="111"/>
      <c r="O388" s="111"/>
      <c r="P388" s="111"/>
      <c r="Q388" s="111"/>
      <c r="R388" s="111"/>
      <c r="S388" s="111"/>
      <c r="T388" s="111"/>
      <c r="U388" s="111"/>
      <c r="V388" s="112"/>
      <c r="W388" s="111"/>
      <c r="X388" s="111"/>
      <c r="Y388" s="113"/>
    </row>
    <row r="389" spans="1:25" ht="75.75" customHeight="1">
      <c r="A389" s="226"/>
      <c r="B389" s="535"/>
      <c r="C389" s="256">
        <v>22</v>
      </c>
      <c r="D389" s="232" t="s">
        <v>486</v>
      </c>
      <c r="E389" s="246"/>
      <c r="F389" s="234">
        <v>183</v>
      </c>
      <c r="G389" s="232" t="s">
        <v>487</v>
      </c>
      <c r="H389" s="312" t="s">
        <v>479</v>
      </c>
      <c r="I389" s="165" t="s">
        <v>488</v>
      </c>
      <c r="J389" s="232" t="s">
        <v>489</v>
      </c>
      <c r="K389" s="234" t="s">
        <v>30</v>
      </c>
      <c r="L389" s="235"/>
      <c r="M389" s="235"/>
      <c r="N389" s="235"/>
      <c r="O389" s="235"/>
      <c r="P389" s="235"/>
      <c r="Q389" s="235"/>
      <c r="R389" s="235"/>
      <c r="S389" s="235"/>
      <c r="T389" s="235"/>
      <c r="U389" s="235"/>
      <c r="V389" s="237">
        <v>240000000</v>
      </c>
      <c r="W389" s="238"/>
      <c r="X389" s="238"/>
      <c r="Y389" s="61">
        <f t="shared" ref="Y389" si="144">+L389+M389+N389+O389+P389+Q389+R389+S389+T389+U389+V389+W389+X389</f>
        <v>240000000</v>
      </c>
    </row>
    <row r="390" spans="1:25" ht="15" customHeight="1">
      <c r="A390" s="50"/>
      <c r="B390" s="535"/>
      <c r="C390" s="256"/>
      <c r="D390" s="232"/>
      <c r="E390" s="64"/>
      <c r="F390" s="65"/>
      <c r="G390" s="64"/>
      <c r="H390" s="66"/>
      <c r="I390" s="67"/>
      <c r="J390" s="64"/>
      <c r="K390" s="65"/>
      <c r="L390" s="68"/>
      <c r="M390" s="68"/>
      <c r="N390" s="68"/>
      <c r="O390" s="68"/>
      <c r="P390" s="68"/>
      <c r="Q390" s="68"/>
      <c r="R390" s="68"/>
      <c r="S390" s="68"/>
      <c r="T390" s="68"/>
      <c r="U390" s="68"/>
      <c r="V390" s="221">
        <f t="shared" ref="V390:Y390" si="145">SUM(V389:V389)</f>
        <v>240000000</v>
      </c>
      <c r="W390" s="221">
        <f t="shared" si="145"/>
        <v>0</v>
      </c>
      <c r="X390" s="221">
        <f t="shared" si="145"/>
        <v>0</v>
      </c>
      <c r="Y390" s="221">
        <f t="shared" si="145"/>
        <v>240000000</v>
      </c>
    </row>
    <row r="391" spans="1:25" ht="15" customHeight="1">
      <c r="A391" s="50"/>
      <c r="B391" s="535"/>
      <c r="C391" s="536"/>
      <c r="D391" s="537"/>
      <c r="E391" s="183"/>
      <c r="F391" s="184"/>
      <c r="G391" s="183"/>
      <c r="H391" s="185"/>
      <c r="I391" s="186"/>
      <c r="J391" s="183"/>
      <c r="K391" s="184"/>
      <c r="L391" s="188"/>
      <c r="M391" s="188"/>
      <c r="N391" s="188"/>
      <c r="O391" s="188"/>
      <c r="P391" s="188"/>
      <c r="Q391" s="188"/>
      <c r="R391" s="188"/>
      <c r="S391" s="188"/>
      <c r="T391" s="188"/>
      <c r="U391" s="188"/>
      <c r="V391" s="306"/>
      <c r="W391" s="188"/>
      <c r="X391" s="188"/>
      <c r="Y391" s="94"/>
    </row>
    <row r="392" spans="1:25" ht="15" customHeight="1">
      <c r="A392" s="50"/>
      <c r="B392" s="535"/>
      <c r="C392" s="293"/>
      <c r="D392" s="229"/>
      <c r="E392" s="107">
        <v>59</v>
      </c>
      <c r="F392" s="108" t="s">
        <v>490</v>
      </c>
      <c r="G392" s="108"/>
      <c r="H392" s="108"/>
      <c r="I392" s="108"/>
      <c r="J392" s="108"/>
      <c r="K392" s="108"/>
      <c r="L392" s="538"/>
      <c r="M392" s="111"/>
      <c r="N392" s="111"/>
      <c r="O392" s="111"/>
      <c r="P392" s="111"/>
      <c r="Q392" s="111"/>
      <c r="R392" s="111"/>
      <c r="S392" s="111"/>
      <c r="T392" s="111"/>
      <c r="U392" s="111"/>
      <c r="V392" s="112"/>
      <c r="W392" s="111"/>
      <c r="X392" s="111"/>
      <c r="Y392" s="113"/>
    </row>
    <row r="393" spans="1:25" ht="94.5" customHeight="1">
      <c r="A393" s="226"/>
      <c r="B393" s="535"/>
      <c r="C393" s="530">
        <v>31</v>
      </c>
      <c r="D393" s="539" t="s">
        <v>491</v>
      </c>
      <c r="E393" s="230"/>
      <c r="F393" s="234">
        <v>184</v>
      </c>
      <c r="G393" s="232" t="s">
        <v>492</v>
      </c>
      <c r="H393" s="540" t="s">
        <v>479</v>
      </c>
      <c r="I393" s="405" t="s">
        <v>493</v>
      </c>
      <c r="J393" s="229" t="s">
        <v>494</v>
      </c>
      <c r="K393" s="269" t="s">
        <v>30</v>
      </c>
      <c r="L393" s="235"/>
      <c r="M393" s="235"/>
      <c r="N393" s="235"/>
      <c r="O393" s="235"/>
      <c r="P393" s="235"/>
      <c r="Q393" s="235"/>
      <c r="R393" s="235"/>
      <c r="S393" s="235"/>
      <c r="T393" s="238"/>
      <c r="U393" s="238"/>
      <c r="V393" s="237">
        <f>160000000+80000000</f>
        <v>240000000</v>
      </c>
      <c r="W393" s="238"/>
      <c r="X393" s="238"/>
      <c r="Y393" s="61">
        <f t="shared" ref="Y393" si="146">+L393+M393+N393+O393+P393+Q393+R393+S393+T393+U393+V393+W393+X393</f>
        <v>240000000</v>
      </c>
    </row>
    <row r="394" spans="1:25" ht="15" customHeight="1">
      <c r="A394" s="50"/>
      <c r="B394" s="541"/>
      <c r="C394" s="256"/>
      <c r="D394" s="232"/>
      <c r="E394" s="64"/>
      <c r="F394" s="65"/>
      <c r="G394" s="64"/>
      <c r="H394" s="66"/>
      <c r="I394" s="67"/>
      <c r="J394" s="64"/>
      <c r="K394" s="65"/>
      <c r="L394" s="68"/>
      <c r="M394" s="68"/>
      <c r="N394" s="68"/>
      <c r="O394" s="68"/>
      <c r="P394" s="68"/>
      <c r="Q394" s="68"/>
      <c r="R394" s="68"/>
      <c r="S394" s="68"/>
      <c r="T394" s="68"/>
      <c r="U394" s="68"/>
      <c r="V394" s="221">
        <f>SUM(V393:V393)</f>
        <v>240000000</v>
      </c>
      <c r="W394" s="221">
        <f>SUM(W393:W393)</f>
        <v>0</v>
      </c>
      <c r="X394" s="221">
        <f>SUM(X393:X393)</f>
        <v>0</v>
      </c>
      <c r="Y394" s="221">
        <f>SUM(Y393:Y393)</f>
        <v>240000000</v>
      </c>
    </row>
    <row r="395" spans="1:25" ht="15" customHeight="1">
      <c r="A395" s="50"/>
      <c r="B395" s="541"/>
      <c r="C395" s="536"/>
      <c r="D395" s="537"/>
      <c r="E395" s="183"/>
      <c r="F395" s="184"/>
      <c r="G395" s="183"/>
      <c r="H395" s="185"/>
      <c r="I395" s="186"/>
      <c r="J395" s="183"/>
      <c r="K395" s="184"/>
      <c r="L395" s="188"/>
      <c r="M395" s="188"/>
      <c r="N395" s="188"/>
      <c r="O395" s="188"/>
      <c r="P395" s="188"/>
      <c r="Q395" s="188"/>
      <c r="R395" s="188"/>
      <c r="S395" s="188"/>
      <c r="T395" s="188"/>
      <c r="U395" s="188"/>
      <c r="V395" s="306"/>
      <c r="W395" s="188"/>
      <c r="X395" s="188"/>
      <c r="Y395" s="94"/>
    </row>
    <row r="396" spans="1:25" ht="15" customHeight="1">
      <c r="A396" s="50"/>
      <c r="B396" s="541"/>
      <c r="C396" s="293"/>
      <c r="D396" s="229"/>
      <c r="E396" s="107">
        <v>60</v>
      </c>
      <c r="F396" s="108" t="s">
        <v>495</v>
      </c>
      <c r="G396" s="109"/>
      <c r="H396" s="109"/>
      <c r="I396" s="109"/>
      <c r="J396" s="109"/>
      <c r="K396" s="109"/>
      <c r="L396" s="111"/>
      <c r="M396" s="111"/>
      <c r="N396" s="111"/>
      <c r="O396" s="111"/>
      <c r="P396" s="111"/>
      <c r="Q396" s="111"/>
      <c r="R396" s="111"/>
      <c r="S396" s="111"/>
      <c r="T396" s="111"/>
      <c r="U396" s="111"/>
      <c r="V396" s="112"/>
      <c r="W396" s="111"/>
      <c r="X396" s="111"/>
      <c r="Y396" s="113"/>
    </row>
    <row r="397" spans="1:25" ht="80.25" customHeight="1">
      <c r="A397" s="226"/>
      <c r="B397" s="535"/>
      <c r="C397" s="542">
        <v>32</v>
      </c>
      <c r="D397" s="543" t="s">
        <v>496</v>
      </c>
      <c r="E397" s="246"/>
      <c r="F397" s="234">
        <v>187</v>
      </c>
      <c r="G397" s="232" t="s">
        <v>497</v>
      </c>
      <c r="H397" s="540" t="s">
        <v>479</v>
      </c>
      <c r="I397" s="405" t="s">
        <v>498</v>
      </c>
      <c r="J397" s="229" t="s">
        <v>499</v>
      </c>
      <c r="K397" s="234" t="s">
        <v>30</v>
      </c>
      <c r="L397" s="235"/>
      <c r="M397" s="235"/>
      <c r="N397" s="235"/>
      <c r="O397" s="235"/>
      <c r="P397" s="235"/>
      <c r="Q397" s="235"/>
      <c r="R397" s="235"/>
      <c r="S397" s="235"/>
      <c r="T397" s="238"/>
      <c r="U397" s="238"/>
      <c r="V397" s="237">
        <f>130000000+80000000</f>
        <v>210000000</v>
      </c>
      <c r="W397" s="238"/>
      <c r="X397" s="238"/>
      <c r="Y397" s="61">
        <f t="shared" ref="Y397" si="147">+L397+M397+N397+O397+P397+Q397+R397+S397+T397+U397+V397+W397+X397</f>
        <v>210000000</v>
      </c>
    </row>
    <row r="398" spans="1:25" ht="15" customHeight="1">
      <c r="A398" s="50"/>
      <c r="B398" s="541"/>
      <c r="C398" s="256"/>
      <c r="D398" s="232"/>
      <c r="E398" s="64"/>
      <c r="F398" s="65"/>
      <c r="G398" s="64"/>
      <c r="H398" s="66"/>
      <c r="I398" s="67"/>
      <c r="J398" s="64"/>
      <c r="K398" s="65"/>
      <c r="L398" s="68"/>
      <c r="M398" s="68"/>
      <c r="N398" s="68"/>
      <c r="O398" s="68"/>
      <c r="P398" s="68"/>
      <c r="Q398" s="68"/>
      <c r="R398" s="68"/>
      <c r="S398" s="68"/>
      <c r="T398" s="68"/>
      <c r="U398" s="68"/>
      <c r="V398" s="221">
        <f>SUM(V397:V397)</f>
        <v>210000000</v>
      </c>
      <c r="W398" s="221">
        <f>SUM(W397:W397)</f>
        <v>0</v>
      </c>
      <c r="X398" s="221">
        <f>SUM(X397:X397)</f>
        <v>0</v>
      </c>
      <c r="Y398" s="221">
        <f>SUM(Y397:Y397)</f>
        <v>210000000</v>
      </c>
    </row>
    <row r="399" spans="1:25" ht="15" customHeight="1">
      <c r="A399" s="50"/>
      <c r="B399" s="541"/>
      <c r="C399" s="536"/>
      <c r="D399" s="537"/>
      <c r="E399" s="183"/>
      <c r="F399" s="184"/>
      <c r="G399" s="183"/>
      <c r="H399" s="185"/>
      <c r="I399" s="186"/>
      <c r="J399" s="183"/>
      <c r="K399" s="184"/>
      <c r="L399" s="188"/>
      <c r="M399" s="188"/>
      <c r="N399" s="188"/>
      <c r="O399" s="188"/>
      <c r="P399" s="188"/>
      <c r="Q399" s="188"/>
      <c r="R399" s="188"/>
      <c r="S399" s="188"/>
      <c r="T399" s="188"/>
      <c r="U399" s="188"/>
      <c r="V399" s="306"/>
      <c r="W399" s="188"/>
      <c r="X399" s="188"/>
      <c r="Y399" s="94"/>
    </row>
    <row r="400" spans="1:25" ht="15" customHeight="1">
      <c r="A400" s="50"/>
      <c r="B400" s="541"/>
      <c r="C400" s="293"/>
      <c r="D400" s="229"/>
      <c r="E400" s="107">
        <v>61</v>
      </c>
      <c r="F400" s="109" t="s">
        <v>500</v>
      </c>
      <c r="G400" s="109"/>
      <c r="H400" s="109"/>
      <c r="I400" s="109"/>
      <c r="J400" s="109"/>
      <c r="K400" s="109"/>
      <c r="L400" s="111"/>
      <c r="M400" s="111"/>
      <c r="N400" s="111"/>
      <c r="O400" s="111"/>
      <c r="P400" s="111"/>
      <c r="Q400" s="111"/>
      <c r="R400" s="111"/>
      <c r="S400" s="111"/>
      <c r="T400" s="111"/>
      <c r="U400" s="111"/>
      <c r="V400" s="112"/>
      <c r="W400" s="111"/>
      <c r="X400" s="111"/>
      <c r="Y400" s="113"/>
    </row>
    <row r="401" spans="1:25" ht="75" customHeight="1">
      <c r="A401" s="226"/>
      <c r="B401" s="535"/>
      <c r="C401" s="256">
        <v>34</v>
      </c>
      <c r="D401" s="260" t="s">
        <v>501</v>
      </c>
      <c r="E401" s="246"/>
      <c r="F401" s="234">
        <v>190</v>
      </c>
      <c r="G401" s="232" t="s">
        <v>502</v>
      </c>
      <c r="H401" s="232" t="s">
        <v>479</v>
      </c>
      <c r="I401" s="165" t="s">
        <v>503</v>
      </c>
      <c r="J401" s="232" t="s">
        <v>504</v>
      </c>
      <c r="K401" s="234" t="s">
        <v>30</v>
      </c>
      <c r="L401" s="235"/>
      <c r="M401" s="235"/>
      <c r="N401" s="235"/>
      <c r="O401" s="235"/>
      <c r="P401" s="235"/>
      <c r="Q401" s="235"/>
      <c r="R401" s="235"/>
      <c r="S401" s="235"/>
      <c r="T401" s="235"/>
      <c r="U401" s="235"/>
      <c r="V401" s="237">
        <v>200000000</v>
      </c>
      <c r="W401" s="238"/>
      <c r="X401" s="238"/>
      <c r="Y401" s="61">
        <f t="shared" ref="Y401" si="148">+L401+M401+N401+O401+P401+Q401+R401+S401+T401+U401+V401+W401+X401</f>
        <v>200000000</v>
      </c>
    </row>
    <row r="402" spans="1:25" ht="15" customHeight="1">
      <c r="A402" s="50"/>
      <c r="B402" s="544"/>
      <c r="C402" s="256"/>
      <c r="D402" s="232"/>
      <c r="E402" s="64"/>
      <c r="F402" s="65"/>
      <c r="G402" s="64"/>
      <c r="H402" s="65"/>
      <c r="I402" s="67"/>
      <c r="J402" s="64"/>
      <c r="K402" s="65"/>
      <c r="L402" s="68"/>
      <c r="M402" s="68"/>
      <c r="N402" s="68"/>
      <c r="O402" s="68"/>
      <c r="P402" s="68"/>
      <c r="Q402" s="68"/>
      <c r="R402" s="68"/>
      <c r="S402" s="68"/>
      <c r="T402" s="68"/>
      <c r="U402" s="68"/>
      <c r="V402" s="221">
        <f t="shared" ref="V402:Y402" si="149">SUM(V401:V401)</f>
        <v>200000000</v>
      </c>
      <c r="W402" s="221">
        <f t="shared" si="149"/>
        <v>0</v>
      </c>
      <c r="X402" s="221">
        <f t="shared" si="149"/>
        <v>0</v>
      </c>
      <c r="Y402" s="221">
        <f t="shared" si="149"/>
        <v>200000000</v>
      </c>
    </row>
    <row r="403" spans="1:25" ht="15" customHeight="1">
      <c r="A403" s="50"/>
      <c r="B403" s="142"/>
      <c r="C403" s="71"/>
      <c r="D403" s="70"/>
      <c r="E403" s="70"/>
      <c r="F403" s="71"/>
      <c r="G403" s="70"/>
      <c r="H403" s="71"/>
      <c r="I403" s="73"/>
      <c r="J403" s="70"/>
      <c r="K403" s="71"/>
      <c r="L403" s="74"/>
      <c r="M403" s="74"/>
      <c r="N403" s="74"/>
      <c r="O403" s="74"/>
      <c r="P403" s="74"/>
      <c r="Q403" s="74"/>
      <c r="R403" s="74"/>
      <c r="S403" s="74"/>
      <c r="T403" s="74"/>
      <c r="U403" s="74"/>
      <c r="V403" s="222">
        <f>V402+V398+V394+V390</f>
        <v>890000000</v>
      </c>
      <c r="W403" s="222">
        <f>W402+W398+W394+W390</f>
        <v>0</v>
      </c>
      <c r="X403" s="222">
        <f>X402+X398+X394+X390</f>
        <v>0</v>
      </c>
      <c r="Y403" s="222">
        <f>Y402+Y398+Y394+Y390</f>
        <v>890000000</v>
      </c>
    </row>
    <row r="404" spans="1:25" ht="15" customHeight="1">
      <c r="A404" s="50"/>
      <c r="B404" s="531"/>
      <c r="C404" s="532"/>
      <c r="D404" s="86"/>
      <c r="E404" s="86"/>
      <c r="F404" s="87"/>
      <c r="G404" s="86"/>
      <c r="H404" s="87"/>
      <c r="I404" s="89"/>
      <c r="J404" s="86"/>
      <c r="K404" s="87"/>
      <c r="L404" s="90"/>
      <c r="M404" s="90"/>
      <c r="N404" s="90"/>
      <c r="O404" s="90"/>
      <c r="P404" s="90"/>
      <c r="Q404" s="90"/>
      <c r="R404" s="91"/>
      <c r="S404" s="91"/>
      <c r="T404" s="188"/>
      <c r="U404" s="188"/>
      <c r="V404" s="439"/>
      <c r="W404" s="90"/>
      <c r="X404" s="90"/>
      <c r="Y404" s="94"/>
    </row>
    <row r="405" spans="1:25" ht="15.75" customHeight="1">
      <c r="A405" s="50"/>
      <c r="B405" s="198">
        <v>18</v>
      </c>
      <c r="C405" s="36" t="s">
        <v>505</v>
      </c>
      <c r="D405" s="37"/>
      <c r="E405" s="37"/>
      <c r="F405" s="38"/>
      <c r="G405" s="37"/>
      <c r="H405" s="37"/>
      <c r="I405" s="39"/>
      <c r="J405" s="37"/>
      <c r="K405" s="37"/>
      <c r="L405" s="102"/>
      <c r="M405" s="102"/>
      <c r="N405" s="102"/>
      <c r="O405" s="102"/>
      <c r="P405" s="102"/>
      <c r="Q405" s="102"/>
      <c r="R405" s="102"/>
      <c r="S405" s="102"/>
      <c r="T405" s="102"/>
      <c r="U405" s="102"/>
      <c r="V405" s="103"/>
      <c r="W405" s="102"/>
      <c r="X405" s="102"/>
      <c r="Y405" s="104"/>
    </row>
    <row r="406" spans="1:25" ht="20.25" customHeight="1">
      <c r="A406" s="50"/>
      <c r="B406" s="533"/>
      <c r="C406" s="534"/>
      <c r="D406" s="52"/>
      <c r="E406" s="351">
        <v>62</v>
      </c>
      <c r="F406" s="109" t="s">
        <v>506</v>
      </c>
      <c r="G406" s="109"/>
      <c r="H406" s="109"/>
      <c r="I406" s="109"/>
      <c r="J406" s="109"/>
      <c r="K406" s="109"/>
      <c r="L406" s="111"/>
      <c r="M406" s="111"/>
      <c r="N406" s="111"/>
      <c r="O406" s="111"/>
      <c r="P406" s="111"/>
      <c r="Q406" s="111"/>
      <c r="R406" s="111"/>
      <c r="S406" s="111"/>
      <c r="T406" s="111"/>
      <c r="U406" s="111"/>
      <c r="V406" s="112"/>
      <c r="W406" s="111"/>
      <c r="X406" s="111"/>
      <c r="Y406" s="113"/>
    </row>
    <row r="407" spans="1:25" ht="117" customHeight="1">
      <c r="A407" s="226"/>
      <c r="B407" s="535"/>
      <c r="C407" s="251">
        <v>5</v>
      </c>
      <c r="D407" s="52" t="s">
        <v>268</v>
      </c>
      <c r="E407" s="246"/>
      <c r="F407" s="234">
        <v>191</v>
      </c>
      <c r="G407" s="232" t="s">
        <v>507</v>
      </c>
      <c r="H407" s="232" t="s">
        <v>479</v>
      </c>
      <c r="I407" s="165" t="s">
        <v>508</v>
      </c>
      <c r="J407" s="232" t="s">
        <v>509</v>
      </c>
      <c r="K407" s="269" t="s">
        <v>30</v>
      </c>
      <c r="L407" s="235"/>
      <c r="M407" s="235"/>
      <c r="N407" s="235"/>
      <c r="O407" s="235"/>
      <c r="P407" s="235"/>
      <c r="Q407" s="235"/>
      <c r="R407" s="235"/>
      <c r="S407" s="235"/>
      <c r="T407" s="235"/>
      <c r="U407" s="235"/>
      <c r="V407" s="237">
        <f>500000000+66924000</f>
        <v>566924000</v>
      </c>
      <c r="W407" s="238"/>
      <c r="X407" s="238"/>
      <c r="Y407" s="61">
        <f t="shared" ref="Y407:Y408" si="150">+L407+M407+N407+O407+P407+Q407+R407+S407+T407+U407+V407+W407+X407</f>
        <v>566924000</v>
      </c>
    </row>
    <row r="408" spans="1:25" ht="78" customHeight="1">
      <c r="A408" s="50"/>
      <c r="B408" s="545"/>
      <c r="C408" s="275">
        <v>27</v>
      </c>
      <c r="D408" s="213" t="s">
        <v>510</v>
      </c>
      <c r="E408" s="53"/>
      <c r="F408" s="54">
        <v>192</v>
      </c>
      <c r="G408" s="52" t="s">
        <v>511</v>
      </c>
      <c r="H408" s="52" t="s">
        <v>479</v>
      </c>
      <c r="I408" s="115" t="s">
        <v>512</v>
      </c>
      <c r="J408" s="52" t="s">
        <v>513</v>
      </c>
      <c r="K408" s="262" t="s">
        <v>30</v>
      </c>
      <c r="L408" s="57"/>
      <c r="M408" s="57"/>
      <c r="N408" s="57"/>
      <c r="O408" s="57"/>
      <c r="P408" s="57"/>
      <c r="Q408" s="57"/>
      <c r="R408" s="57"/>
      <c r="S408" s="57"/>
      <c r="T408" s="57"/>
      <c r="U408" s="57"/>
      <c r="V408" s="59">
        <v>79500000</v>
      </c>
      <c r="W408" s="60"/>
      <c r="X408" s="60"/>
      <c r="Y408" s="61">
        <f t="shared" si="150"/>
        <v>79500000</v>
      </c>
    </row>
    <row r="409" spans="1:25" ht="15" customHeight="1">
      <c r="A409" s="50"/>
      <c r="B409" s="541"/>
      <c r="C409" s="256"/>
      <c r="D409" s="232"/>
      <c r="E409" s="64"/>
      <c r="F409" s="65"/>
      <c r="G409" s="64"/>
      <c r="H409" s="65"/>
      <c r="I409" s="67"/>
      <c r="J409" s="64"/>
      <c r="K409" s="65"/>
      <c r="L409" s="68"/>
      <c r="M409" s="68"/>
      <c r="N409" s="68"/>
      <c r="O409" s="68"/>
      <c r="P409" s="68"/>
      <c r="Q409" s="68"/>
      <c r="R409" s="68"/>
      <c r="S409" s="68"/>
      <c r="T409" s="68"/>
      <c r="U409" s="68"/>
      <c r="V409" s="221">
        <f t="shared" ref="V409:Y409" si="151">SUM(V407:V408)</f>
        <v>646424000</v>
      </c>
      <c r="W409" s="221">
        <f t="shared" si="151"/>
        <v>0</v>
      </c>
      <c r="X409" s="221">
        <f t="shared" si="151"/>
        <v>0</v>
      </c>
      <c r="Y409" s="221">
        <f t="shared" si="151"/>
        <v>646424000</v>
      </c>
    </row>
    <row r="410" spans="1:25" ht="15" customHeight="1">
      <c r="A410" s="50"/>
      <c r="B410" s="541"/>
      <c r="C410" s="536"/>
      <c r="D410" s="537"/>
      <c r="E410" s="183"/>
      <c r="F410" s="184"/>
      <c r="G410" s="183"/>
      <c r="H410" s="185"/>
      <c r="I410" s="186"/>
      <c r="J410" s="183"/>
      <c r="K410" s="184"/>
      <c r="L410" s="188"/>
      <c r="M410" s="188"/>
      <c r="N410" s="188"/>
      <c r="O410" s="188"/>
      <c r="P410" s="188"/>
      <c r="Q410" s="188"/>
      <c r="R410" s="188"/>
      <c r="S410" s="188"/>
      <c r="T410" s="188"/>
      <c r="U410" s="188"/>
      <c r="V410" s="306"/>
      <c r="W410" s="188"/>
      <c r="X410" s="188"/>
      <c r="Y410" s="94"/>
    </row>
    <row r="411" spans="1:25" ht="15" customHeight="1">
      <c r="A411" s="50"/>
      <c r="B411" s="541"/>
      <c r="C411" s="293"/>
      <c r="D411" s="229"/>
      <c r="E411" s="107">
        <v>63</v>
      </c>
      <c r="F411" s="109" t="s">
        <v>514</v>
      </c>
      <c r="G411" s="109"/>
      <c r="H411" s="109"/>
      <c r="I411" s="109"/>
      <c r="J411" s="109"/>
      <c r="K411" s="109"/>
      <c r="L411" s="111"/>
      <c r="M411" s="111"/>
      <c r="N411" s="111"/>
      <c r="O411" s="111"/>
      <c r="P411" s="111"/>
      <c r="Q411" s="111"/>
      <c r="R411" s="111"/>
      <c r="S411" s="111"/>
      <c r="T411" s="111"/>
      <c r="U411" s="111"/>
      <c r="V411" s="112"/>
      <c r="W411" s="111"/>
      <c r="X411" s="111"/>
      <c r="Y411" s="113"/>
    </row>
    <row r="412" spans="1:25" ht="75" customHeight="1">
      <c r="A412" s="50"/>
      <c r="B412" s="545"/>
      <c r="C412" s="251">
        <v>14</v>
      </c>
      <c r="D412" s="546" t="s">
        <v>273</v>
      </c>
      <c r="E412" s="136"/>
      <c r="F412" s="54">
        <v>193</v>
      </c>
      <c r="G412" s="52" t="s">
        <v>515</v>
      </c>
      <c r="H412" s="52" t="s">
        <v>479</v>
      </c>
      <c r="I412" s="115" t="s">
        <v>516</v>
      </c>
      <c r="J412" s="52" t="s">
        <v>517</v>
      </c>
      <c r="K412" s="54" t="s">
        <v>30</v>
      </c>
      <c r="L412" s="57"/>
      <c r="M412" s="57"/>
      <c r="N412" s="57"/>
      <c r="O412" s="57"/>
      <c r="P412" s="57"/>
      <c r="Q412" s="57"/>
      <c r="R412" s="57"/>
      <c r="S412" s="57"/>
      <c r="T412" s="60"/>
      <c r="U412" s="60"/>
      <c r="V412" s="59">
        <v>30000000</v>
      </c>
      <c r="W412" s="60"/>
      <c r="X412" s="60"/>
      <c r="Y412" s="61">
        <f t="shared" ref="Y412:Y413" si="152">+L412+M412+N412+O412+P412+Q412+R412+S412+T412+U412+V412+W412+X412</f>
        <v>30000000</v>
      </c>
    </row>
    <row r="413" spans="1:25" ht="78.75" customHeight="1">
      <c r="A413" s="50"/>
      <c r="B413" s="545"/>
      <c r="C413" s="275">
        <v>13</v>
      </c>
      <c r="D413" s="52" t="s">
        <v>518</v>
      </c>
      <c r="E413" s="62"/>
      <c r="F413" s="54">
        <v>194</v>
      </c>
      <c r="G413" s="52" t="s">
        <v>519</v>
      </c>
      <c r="H413" s="52" t="s">
        <v>479</v>
      </c>
      <c r="I413" s="115" t="s">
        <v>520</v>
      </c>
      <c r="J413" s="52" t="s">
        <v>521</v>
      </c>
      <c r="K413" s="54" t="s">
        <v>30</v>
      </c>
      <c r="L413" s="57"/>
      <c r="M413" s="57"/>
      <c r="N413" s="57"/>
      <c r="O413" s="57"/>
      <c r="P413" s="57"/>
      <c r="Q413" s="57"/>
      <c r="R413" s="57"/>
      <c r="S413" s="57"/>
      <c r="T413" s="60"/>
      <c r="U413" s="60"/>
      <c r="V413" s="59">
        <v>69500000</v>
      </c>
      <c r="W413" s="60"/>
      <c r="X413" s="60"/>
      <c r="Y413" s="61">
        <f t="shared" si="152"/>
        <v>69500000</v>
      </c>
    </row>
    <row r="414" spans="1:25" ht="15" customHeight="1">
      <c r="A414" s="50"/>
      <c r="B414" s="541"/>
      <c r="C414" s="547"/>
      <c r="D414" s="52"/>
      <c r="E414" s="64"/>
      <c r="F414" s="65"/>
      <c r="G414" s="64"/>
      <c r="H414" s="65"/>
      <c r="I414" s="67"/>
      <c r="J414" s="64"/>
      <c r="K414" s="65"/>
      <c r="L414" s="68"/>
      <c r="M414" s="68"/>
      <c r="N414" s="68"/>
      <c r="O414" s="68"/>
      <c r="P414" s="68"/>
      <c r="Q414" s="68"/>
      <c r="R414" s="68"/>
      <c r="S414" s="68"/>
      <c r="T414" s="68"/>
      <c r="U414" s="68"/>
      <c r="V414" s="221">
        <f t="shared" ref="V414:Y414" si="153">SUM(V412:V413)</f>
        <v>99500000</v>
      </c>
      <c r="W414" s="221">
        <f t="shared" si="153"/>
        <v>0</v>
      </c>
      <c r="X414" s="221">
        <f t="shared" si="153"/>
        <v>0</v>
      </c>
      <c r="Y414" s="221">
        <f t="shared" si="153"/>
        <v>99500000</v>
      </c>
    </row>
    <row r="415" spans="1:25" ht="15" customHeight="1">
      <c r="A415" s="50"/>
      <c r="B415" s="541"/>
      <c r="C415" s="184"/>
      <c r="D415" s="183"/>
      <c r="E415" s="183"/>
      <c r="F415" s="184"/>
      <c r="G415" s="183"/>
      <c r="H415" s="185"/>
      <c r="I415" s="186"/>
      <c r="J415" s="183"/>
      <c r="K415" s="184"/>
      <c r="L415" s="188"/>
      <c r="M415" s="188"/>
      <c r="N415" s="188"/>
      <c r="O415" s="188"/>
      <c r="P415" s="188"/>
      <c r="Q415" s="188"/>
      <c r="R415" s="188"/>
      <c r="S415" s="188"/>
      <c r="T415" s="188"/>
      <c r="U415" s="188"/>
      <c r="V415" s="306"/>
      <c r="W415" s="188"/>
      <c r="X415" s="188"/>
      <c r="Y415" s="94"/>
    </row>
    <row r="416" spans="1:25" ht="15" customHeight="1">
      <c r="A416" s="50"/>
      <c r="B416" s="541"/>
      <c r="C416" s="293"/>
      <c r="D416" s="229"/>
      <c r="E416" s="107">
        <v>64</v>
      </c>
      <c r="F416" s="109" t="s">
        <v>522</v>
      </c>
      <c r="G416" s="109"/>
      <c r="H416" s="109"/>
      <c r="I416" s="109"/>
      <c r="J416" s="109"/>
      <c r="K416" s="109"/>
      <c r="L416" s="111"/>
      <c r="M416" s="111"/>
      <c r="N416" s="111"/>
      <c r="O416" s="111"/>
      <c r="P416" s="111"/>
      <c r="Q416" s="111"/>
      <c r="R416" s="111"/>
      <c r="S416" s="111"/>
      <c r="T416" s="111"/>
      <c r="U416" s="111"/>
      <c r="V416" s="112"/>
      <c r="W416" s="111"/>
      <c r="X416" s="111"/>
      <c r="Y416" s="113"/>
    </row>
    <row r="417" spans="1:25" ht="99.75">
      <c r="A417" s="50"/>
      <c r="B417" s="545"/>
      <c r="C417" s="54">
        <v>37</v>
      </c>
      <c r="D417" s="52" t="s">
        <v>523</v>
      </c>
      <c r="E417" s="62"/>
      <c r="F417" s="54">
        <v>195</v>
      </c>
      <c r="G417" s="52" t="s">
        <v>524</v>
      </c>
      <c r="H417" s="52" t="s">
        <v>479</v>
      </c>
      <c r="I417" s="115" t="s">
        <v>525</v>
      </c>
      <c r="J417" s="52" t="s">
        <v>526</v>
      </c>
      <c r="K417" s="54" t="s">
        <v>30</v>
      </c>
      <c r="L417" s="57"/>
      <c r="M417" s="57"/>
      <c r="N417" s="57"/>
      <c r="O417" s="57"/>
      <c r="P417" s="57"/>
      <c r="Q417" s="57"/>
      <c r="R417" s="57"/>
      <c r="S417" s="57"/>
      <c r="T417" s="60"/>
      <c r="U417" s="60"/>
      <c r="V417" s="59">
        <v>100000000</v>
      </c>
      <c r="W417" s="60"/>
      <c r="X417" s="60"/>
      <c r="Y417" s="61">
        <f t="shared" ref="Y417" si="154">+L417+M417+N417+O417+P417+Q417+R417+S417+T417+U417+V417+W417+X417</f>
        <v>100000000</v>
      </c>
    </row>
    <row r="418" spans="1:25" ht="15" customHeight="1">
      <c r="A418" s="50"/>
      <c r="B418" s="541"/>
      <c r="C418" s="256"/>
      <c r="D418" s="232"/>
      <c r="E418" s="64"/>
      <c r="F418" s="65"/>
      <c r="G418" s="64"/>
      <c r="H418" s="65"/>
      <c r="I418" s="67"/>
      <c r="J418" s="64"/>
      <c r="K418" s="65"/>
      <c r="L418" s="436"/>
      <c r="M418" s="68"/>
      <c r="N418" s="68"/>
      <c r="O418" s="68"/>
      <c r="P418" s="68"/>
      <c r="Q418" s="68"/>
      <c r="R418" s="68"/>
      <c r="S418" s="68"/>
      <c r="T418" s="68"/>
      <c r="U418" s="68"/>
      <c r="V418" s="221">
        <f t="shared" ref="V418:Y418" si="155">SUM(V417:V417)</f>
        <v>100000000</v>
      </c>
      <c r="W418" s="221">
        <f t="shared" si="155"/>
        <v>0</v>
      </c>
      <c r="X418" s="221">
        <f t="shared" si="155"/>
        <v>0</v>
      </c>
      <c r="Y418" s="221">
        <f t="shared" si="155"/>
        <v>100000000</v>
      </c>
    </row>
    <row r="419" spans="1:25" ht="15" customHeight="1">
      <c r="A419" s="50"/>
      <c r="B419" s="541"/>
      <c r="C419" s="184"/>
      <c r="D419" s="183"/>
      <c r="E419" s="183"/>
      <c r="F419" s="184"/>
      <c r="G419" s="183"/>
      <c r="H419" s="185"/>
      <c r="I419" s="186"/>
      <c r="J419" s="183"/>
      <c r="K419" s="184"/>
      <c r="L419" s="188"/>
      <c r="M419" s="188"/>
      <c r="N419" s="188"/>
      <c r="O419" s="188"/>
      <c r="P419" s="188"/>
      <c r="Q419" s="188"/>
      <c r="R419" s="188"/>
      <c r="S419" s="188"/>
      <c r="T419" s="188"/>
      <c r="U419" s="188"/>
      <c r="V419" s="306"/>
      <c r="W419" s="188"/>
      <c r="X419" s="188"/>
      <c r="Y419" s="94"/>
    </row>
    <row r="420" spans="1:25" ht="15" customHeight="1">
      <c r="A420" s="50"/>
      <c r="B420" s="541"/>
      <c r="C420" s="548"/>
      <c r="D420" s="138"/>
      <c r="E420" s="351">
        <v>65</v>
      </c>
      <c r="F420" s="109" t="s">
        <v>527</v>
      </c>
      <c r="G420" s="109"/>
      <c r="H420" s="109"/>
      <c r="I420" s="109"/>
      <c r="J420" s="109"/>
      <c r="K420" s="109"/>
      <c r="L420" s="111"/>
      <c r="M420" s="111"/>
      <c r="N420" s="111"/>
      <c r="O420" s="111"/>
      <c r="P420" s="111"/>
      <c r="Q420" s="111"/>
      <c r="R420" s="111"/>
      <c r="S420" s="111"/>
      <c r="T420" s="111"/>
      <c r="U420" s="111"/>
      <c r="V420" s="112"/>
      <c r="W420" s="111"/>
      <c r="X420" s="111"/>
      <c r="Y420" s="113"/>
    </row>
    <row r="421" spans="1:25" ht="84.75" customHeight="1">
      <c r="A421" s="50"/>
      <c r="B421" s="545"/>
      <c r="C421" s="51">
        <v>21</v>
      </c>
      <c r="D421" s="360" t="s">
        <v>528</v>
      </c>
      <c r="E421" s="114"/>
      <c r="F421" s="54">
        <v>196</v>
      </c>
      <c r="G421" s="52" t="s">
        <v>529</v>
      </c>
      <c r="H421" s="52" t="s">
        <v>479</v>
      </c>
      <c r="I421" s="115" t="s">
        <v>530</v>
      </c>
      <c r="J421" s="52" t="s">
        <v>531</v>
      </c>
      <c r="K421" s="54" t="s">
        <v>30</v>
      </c>
      <c r="L421" s="57"/>
      <c r="M421" s="57"/>
      <c r="N421" s="57"/>
      <c r="O421" s="57"/>
      <c r="P421" s="57"/>
      <c r="Q421" s="57"/>
      <c r="R421" s="57"/>
      <c r="S421" s="57"/>
      <c r="T421" s="57"/>
      <c r="U421" s="57"/>
      <c r="V421" s="59">
        <v>200000000</v>
      </c>
      <c r="W421" s="60"/>
      <c r="X421" s="60"/>
      <c r="Y421" s="61">
        <f t="shared" ref="Y421" si="156">+L421+M421+N421+O421+P421+Q421+R421+S421+T421+U421+V421+W421+X421</f>
        <v>200000000</v>
      </c>
    </row>
    <row r="422" spans="1:25" ht="15" customHeight="1">
      <c r="A422" s="50"/>
      <c r="B422" s="541"/>
      <c r="C422" s="460"/>
      <c r="D422" s="268"/>
      <c r="E422" s="452"/>
      <c r="F422" s="65"/>
      <c r="G422" s="64"/>
      <c r="H422" s="65"/>
      <c r="I422" s="67"/>
      <c r="J422" s="64"/>
      <c r="K422" s="65"/>
      <c r="L422" s="68"/>
      <c r="M422" s="68"/>
      <c r="N422" s="68"/>
      <c r="O422" s="68"/>
      <c r="P422" s="68"/>
      <c r="Q422" s="68"/>
      <c r="R422" s="68"/>
      <c r="S422" s="68"/>
      <c r="T422" s="68"/>
      <c r="U422" s="68"/>
      <c r="V422" s="221">
        <f t="shared" ref="V422:Y422" si="157">SUM(V421)</f>
        <v>200000000</v>
      </c>
      <c r="W422" s="221">
        <f t="shared" si="157"/>
        <v>0</v>
      </c>
      <c r="X422" s="221">
        <f t="shared" si="157"/>
        <v>0</v>
      </c>
      <c r="Y422" s="221">
        <f t="shared" si="157"/>
        <v>200000000</v>
      </c>
    </row>
    <row r="423" spans="1:25" ht="21" customHeight="1">
      <c r="A423" s="50"/>
      <c r="B423" s="541"/>
      <c r="C423" s="536"/>
      <c r="D423" s="537"/>
      <c r="E423" s="183"/>
      <c r="F423" s="184"/>
      <c r="G423" s="183"/>
      <c r="H423" s="185"/>
      <c r="I423" s="186"/>
      <c r="J423" s="183"/>
      <c r="K423" s="184"/>
      <c r="L423" s="188"/>
      <c r="M423" s="188"/>
      <c r="N423" s="188"/>
      <c r="O423" s="188"/>
      <c r="P423" s="188"/>
      <c r="Q423" s="188"/>
      <c r="R423" s="188"/>
      <c r="S423" s="188"/>
      <c r="T423" s="188"/>
      <c r="U423" s="188"/>
      <c r="V423" s="306"/>
      <c r="W423" s="188"/>
      <c r="X423" s="188"/>
      <c r="Y423" s="94"/>
    </row>
    <row r="424" spans="1:25" ht="15" customHeight="1">
      <c r="A424" s="50"/>
      <c r="B424" s="541"/>
      <c r="C424" s="293"/>
      <c r="D424" s="229"/>
      <c r="E424" s="107">
        <v>66</v>
      </c>
      <c r="F424" s="109" t="s">
        <v>532</v>
      </c>
      <c r="G424" s="109"/>
      <c r="H424" s="109"/>
      <c r="I424" s="109"/>
      <c r="J424" s="109"/>
      <c r="K424" s="109"/>
      <c r="L424" s="111"/>
      <c r="M424" s="111"/>
      <c r="N424" s="111"/>
      <c r="O424" s="111"/>
      <c r="P424" s="111"/>
      <c r="Q424" s="111"/>
      <c r="R424" s="111"/>
      <c r="S424" s="111"/>
      <c r="T424" s="111"/>
      <c r="U424" s="111"/>
      <c r="V424" s="112"/>
      <c r="W424" s="111"/>
      <c r="X424" s="111"/>
      <c r="Y424" s="113"/>
    </row>
    <row r="425" spans="1:25" ht="73.5" customHeight="1">
      <c r="A425" s="50"/>
      <c r="B425" s="545"/>
      <c r="C425" s="256">
        <v>21</v>
      </c>
      <c r="D425" s="260" t="s">
        <v>528</v>
      </c>
      <c r="E425" s="62"/>
      <c r="F425" s="51">
        <v>197</v>
      </c>
      <c r="G425" s="52" t="s">
        <v>533</v>
      </c>
      <c r="H425" s="52" t="s">
        <v>479</v>
      </c>
      <c r="I425" s="115" t="s">
        <v>534</v>
      </c>
      <c r="J425" s="52" t="s">
        <v>535</v>
      </c>
      <c r="K425" s="54" t="s">
        <v>30</v>
      </c>
      <c r="L425" s="57"/>
      <c r="M425" s="57"/>
      <c r="N425" s="57"/>
      <c r="O425" s="57"/>
      <c r="P425" s="57"/>
      <c r="Q425" s="57"/>
      <c r="R425" s="57"/>
      <c r="S425" s="57"/>
      <c r="T425" s="57"/>
      <c r="U425" s="57"/>
      <c r="V425" s="59">
        <v>160000000</v>
      </c>
      <c r="W425" s="60"/>
      <c r="X425" s="60"/>
      <c r="Y425" s="61">
        <f t="shared" ref="Y425" si="158">+L425+M425+N425+O425+P425+Q425+R425+S425+T425+U425+V425+W425+X425</f>
        <v>160000000</v>
      </c>
    </row>
    <row r="426" spans="1:25" ht="15" customHeight="1">
      <c r="A426" s="50"/>
      <c r="B426" s="544"/>
      <c r="C426" s="256"/>
      <c r="D426" s="232"/>
      <c r="E426" s="65"/>
      <c r="F426" s="65"/>
      <c r="G426" s="64"/>
      <c r="H426" s="65"/>
      <c r="I426" s="67"/>
      <c r="J426" s="64"/>
      <c r="K426" s="65"/>
      <c r="L426" s="68"/>
      <c r="M426" s="68"/>
      <c r="N426" s="68"/>
      <c r="O426" s="68"/>
      <c r="P426" s="68"/>
      <c r="Q426" s="68"/>
      <c r="R426" s="68"/>
      <c r="S426" s="68"/>
      <c r="T426" s="68"/>
      <c r="U426" s="68"/>
      <c r="V426" s="221">
        <f t="shared" ref="V426:Y426" si="159">SUM(V425:V425)</f>
        <v>160000000</v>
      </c>
      <c r="W426" s="221">
        <f t="shared" si="159"/>
        <v>0</v>
      </c>
      <c r="X426" s="221">
        <f t="shared" si="159"/>
        <v>0</v>
      </c>
      <c r="Y426" s="221">
        <f t="shared" si="159"/>
        <v>160000000</v>
      </c>
    </row>
    <row r="427" spans="1:25" ht="15" customHeight="1">
      <c r="A427" s="50"/>
      <c r="B427" s="142"/>
      <c r="C427" s="71"/>
      <c r="D427" s="70"/>
      <c r="E427" s="70"/>
      <c r="F427" s="71"/>
      <c r="G427" s="70"/>
      <c r="H427" s="71"/>
      <c r="I427" s="73"/>
      <c r="J427" s="70"/>
      <c r="K427" s="71"/>
      <c r="L427" s="74"/>
      <c r="M427" s="74"/>
      <c r="N427" s="74"/>
      <c r="O427" s="74"/>
      <c r="P427" s="74"/>
      <c r="Q427" s="74"/>
      <c r="R427" s="74"/>
      <c r="S427" s="74"/>
      <c r="T427" s="74"/>
      <c r="U427" s="74"/>
      <c r="V427" s="222">
        <f t="shared" ref="V427:Y427" si="160">V426+V422+V418+V414+V409</f>
        <v>1205924000</v>
      </c>
      <c r="W427" s="222">
        <f t="shared" si="160"/>
        <v>0</v>
      </c>
      <c r="X427" s="222">
        <f t="shared" si="160"/>
        <v>0</v>
      </c>
      <c r="Y427" s="222">
        <f t="shared" si="160"/>
        <v>1205924000</v>
      </c>
    </row>
    <row r="428" spans="1:25" ht="15" customHeight="1">
      <c r="A428" s="50"/>
      <c r="B428" s="531"/>
      <c r="C428" s="532"/>
      <c r="D428" s="86"/>
      <c r="E428" s="86"/>
      <c r="F428" s="87"/>
      <c r="G428" s="86"/>
      <c r="H428" s="87"/>
      <c r="I428" s="89"/>
      <c r="J428" s="86"/>
      <c r="K428" s="87"/>
      <c r="L428" s="90"/>
      <c r="M428" s="90"/>
      <c r="N428" s="90"/>
      <c r="O428" s="90"/>
      <c r="P428" s="90"/>
      <c r="Q428" s="90"/>
      <c r="R428" s="90"/>
      <c r="S428" s="90"/>
      <c r="T428" s="90"/>
      <c r="U428" s="90"/>
      <c r="V428" s="122"/>
      <c r="W428" s="90"/>
      <c r="X428" s="90"/>
      <c r="Y428" s="94"/>
    </row>
    <row r="429" spans="1:25" ht="15.75" customHeight="1">
      <c r="A429" s="50"/>
      <c r="B429" s="198">
        <v>19</v>
      </c>
      <c r="C429" s="36" t="s">
        <v>536</v>
      </c>
      <c r="D429" s="37"/>
      <c r="E429" s="37"/>
      <c r="F429" s="38"/>
      <c r="G429" s="37"/>
      <c r="H429" s="37"/>
      <c r="I429" s="39"/>
      <c r="J429" s="37"/>
      <c r="K429" s="37"/>
      <c r="L429" s="102"/>
      <c r="M429" s="102"/>
      <c r="N429" s="102"/>
      <c r="O429" s="102"/>
      <c r="P429" s="102"/>
      <c r="Q429" s="102"/>
      <c r="R429" s="102"/>
      <c r="S429" s="102"/>
      <c r="T429" s="102"/>
      <c r="U429" s="102"/>
      <c r="V429" s="103"/>
      <c r="W429" s="102"/>
      <c r="X429" s="102"/>
      <c r="Y429" s="104"/>
    </row>
    <row r="430" spans="1:25" ht="20.25" customHeight="1">
      <c r="A430" s="50"/>
      <c r="B430" s="533"/>
      <c r="C430" s="549"/>
      <c r="D430" s="52"/>
      <c r="E430" s="351">
        <v>67</v>
      </c>
      <c r="F430" s="109" t="s">
        <v>537</v>
      </c>
      <c r="G430" s="109"/>
      <c r="H430" s="109"/>
      <c r="I430" s="109"/>
      <c r="J430" s="109"/>
      <c r="K430" s="109"/>
      <c r="L430" s="111"/>
      <c r="M430" s="111"/>
      <c r="N430" s="111"/>
      <c r="O430" s="111"/>
      <c r="P430" s="111"/>
      <c r="Q430" s="111"/>
      <c r="R430" s="111"/>
      <c r="S430" s="111"/>
      <c r="T430" s="111"/>
      <c r="U430" s="111"/>
      <c r="V430" s="112"/>
      <c r="W430" s="111"/>
      <c r="X430" s="111"/>
      <c r="Y430" s="113"/>
    </row>
    <row r="431" spans="1:25" s="29" customFormat="1" ht="66.75" customHeight="1">
      <c r="A431" s="50"/>
      <c r="B431" s="545"/>
      <c r="C431" s="139">
        <v>35</v>
      </c>
      <c r="D431" s="550" t="s">
        <v>538</v>
      </c>
      <c r="E431" s="202"/>
      <c r="F431" s="87">
        <v>198</v>
      </c>
      <c r="G431" s="52" t="s">
        <v>539</v>
      </c>
      <c r="H431" s="1077" t="s">
        <v>479</v>
      </c>
      <c r="I431" s="1076" t="s">
        <v>540</v>
      </c>
      <c r="J431" s="1077" t="s">
        <v>541</v>
      </c>
      <c r="K431" s="54" t="s">
        <v>30</v>
      </c>
      <c r="L431" s="57"/>
      <c r="M431" s="57"/>
      <c r="N431" s="57"/>
      <c r="O431" s="57"/>
      <c r="P431" s="57"/>
      <c r="Q431" s="57"/>
      <c r="R431" s="57"/>
      <c r="S431" s="57"/>
      <c r="T431" s="60"/>
      <c r="U431" s="60"/>
      <c r="V431" s="59">
        <v>120000000</v>
      </c>
      <c r="W431" s="60"/>
      <c r="X431" s="60"/>
      <c r="Y431" s="61">
        <f t="shared" ref="Y431:Y434" si="161">+L431+M431+N431+O431+P431+Q431+R431+S431+T431+U431+V431+W431+X431</f>
        <v>120000000</v>
      </c>
    </row>
    <row r="432" spans="1:25" s="29" customFormat="1" ht="56.25" customHeight="1">
      <c r="A432" s="50"/>
      <c r="B432" s="545"/>
      <c r="C432" s="139">
        <v>35</v>
      </c>
      <c r="D432" s="550" t="s">
        <v>538</v>
      </c>
      <c r="E432" s="202"/>
      <c r="F432" s="54">
        <v>199</v>
      </c>
      <c r="G432" s="52" t="s">
        <v>542</v>
      </c>
      <c r="H432" s="1064"/>
      <c r="I432" s="1061"/>
      <c r="J432" s="1064"/>
      <c r="K432" s="54" t="s">
        <v>30</v>
      </c>
      <c r="L432" s="57"/>
      <c r="M432" s="57"/>
      <c r="N432" s="57"/>
      <c r="O432" s="57"/>
      <c r="P432" s="57"/>
      <c r="Q432" s="57"/>
      <c r="R432" s="57"/>
      <c r="S432" s="57"/>
      <c r="T432" s="60"/>
      <c r="U432" s="60"/>
      <c r="V432" s="59">
        <v>40000000</v>
      </c>
      <c r="W432" s="60"/>
      <c r="X432" s="60"/>
      <c r="Y432" s="61">
        <f t="shared" si="161"/>
        <v>40000000</v>
      </c>
    </row>
    <row r="433" spans="1:25" ht="40.5" customHeight="1">
      <c r="A433" s="50"/>
      <c r="B433" s="545"/>
      <c r="C433" s="139">
        <v>35</v>
      </c>
      <c r="D433" s="550" t="s">
        <v>538</v>
      </c>
      <c r="E433" s="202"/>
      <c r="F433" s="87">
        <v>200</v>
      </c>
      <c r="G433" s="52" t="s">
        <v>543</v>
      </c>
      <c r="H433" s="1064"/>
      <c r="I433" s="1061"/>
      <c r="J433" s="1064"/>
      <c r="K433" s="54" t="s">
        <v>30</v>
      </c>
      <c r="L433" s="241">
        <v>1144056000</v>
      </c>
      <c r="M433" s="57"/>
      <c r="N433" s="57"/>
      <c r="O433" s="57"/>
      <c r="P433" s="57"/>
      <c r="Q433" s="57"/>
      <c r="R433" s="57"/>
      <c r="S433" s="57"/>
      <c r="T433" s="57"/>
      <c r="U433" s="57"/>
      <c r="V433" s="59"/>
      <c r="W433" s="60"/>
      <c r="X433" s="60"/>
      <c r="Y433" s="61">
        <f t="shared" si="161"/>
        <v>1144056000</v>
      </c>
    </row>
    <row r="434" spans="1:25" ht="42" customHeight="1">
      <c r="A434" s="50"/>
      <c r="B434" s="545"/>
      <c r="C434" s="139">
        <v>35</v>
      </c>
      <c r="D434" s="550" t="s">
        <v>538</v>
      </c>
      <c r="E434" s="202"/>
      <c r="F434" s="87">
        <v>201</v>
      </c>
      <c r="G434" s="52" t="s">
        <v>544</v>
      </c>
      <c r="H434" s="1080"/>
      <c r="I434" s="1079"/>
      <c r="J434" s="1080"/>
      <c r="K434" s="54" t="s">
        <v>30</v>
      </c>
      <c r="L434" s="241">
        <v>2669464000</v>
      </c>
      <c r="M434" s="57"/>
      <c r="N434" s="57"/>
      <c r="O434" s="57"/>
      <c r="P434" s="57"/>
      <c r="Q434" s="57"/>
      <c r="R434" s="57"/>
      <c r="S434" s="57"/>
      <c r="T434" s="57"/>
      <c r="U434" s="57"/>
      <c r="V434" s="59"/>
      <c r="W434" s="60"/>
      <c r="X434" s="60"/>
      <c r="Y434" s="61">
        <f t="shared" si="161"/>
        <v>2669464000</v>
      </c>
    </row>
    <row r="435" spans="1:25" ht="15" customHeight="1">
      <c r="A435" s="50"/>
      <c r="B435" s="544"/>
      <c r="C435" s="234"/>
      <c r="D435" s="232"/>
      <c r="E435" s="64"/>
      <c r="F435" s="65"/>
      <c r="G435" s="64"/>
      <c r="H435" s="65"/>
      <c r="I435" s="67"/>
      <c r="J435" s="551"/>
      <c r="K435" s="65"/>
      <c r="L435" s="68">
        <f t="shared" ref="L435" si="162">SUM(L431:L434)</f>
        <v>3813520000</v>
      </c>
      <c r="M435" s="68"/>
      <c r="N435" s="68"/>
      <c r="O435" s="68"/>
      <c r="P435" s="68"/>
      <c r="Q435" s="68"/>
      <c r="R435" s="68"/>
      <c r="S435" s="68"/>
      <c r="T435" s="68"/>
      <c r="U435" s="68"/>
      <c r="V435" s="221">
        <f t="shared" ref="V435:Y435" si="163">SUM(V431:V434)</f>
        <v>160000000</v>
      </c>
      <c r="W435" s="221">
        <f t="shared" si="163"/>
        <v>0</v>
      </c>
      <c r="X435" s="221">
        <f t="shared" si="163"/>
        <v>0</v>
      </c>
      <c r="Y435" s="221">
        <f t="shared" si="163"/>
        <v>3973520000</v>
      </c>
    </row>
    <row r="436" spans="1:25" ht="15" customHeight="1">
      <c r="A436" s="63"/>
      <c r="B436" s="142"/>
      <c r="C436" s="71"/>
      <c r="D436" s="70"/>
      <c r="E436" s="70"/>
      <c r="F436" s="71"/>
      <c r="G436" s="70"/>
      <c r="H436" s="71"/>
      <c r="I436" s="73"/>
      <c r="J436" s="552"/>
      <c r="K436" s="71"/>
      <c r="L436" s="74">
        <f t="shared" ref="L436" si="164">L435</f>
        <v>3813520000</v>
      </c>
      <c r="M436" s="74"/>
      <c r="N436" s="74"/>
      <c r="O436" s="74"/>
      <c r="P436" s="74"/>
      <c r="Q436" s="74"/>
      <c r="R436" s="74"/>
      <c r="S436" s="74"/>
      <c r="T436" s="74"/>
      <c r="U436" s="74"/>
      <c r="V436" s="222">
        <f t="shared" ref="V436:Y436" si="165">V435</f>
        <v>160000000</v>
      </c>
      <c r="W436" s="222">
        <f t="shared" si="165"/>
        <v>0</v>
      </c>
      <c r="X436" s="222">
        <f t="shared" si="165"/>
        <v>0</v>
      </c>
      <c r="Y436" s="222">
        <f t="shared" si="165"/>
        <v>3973520000</v>
      </c>
    </row>
    <row r="437" spans="1:25" ht="15" customHeight="1">
      <c r="A437" s="75"/>
      <c r="B437" s="75"/>
      <c r="C437" s="76"/>
      <c r="D437" s="75"/>
      <c r="E437" s="75"/>
      <c r="F437" s="76"/>
      <c r="G437" s="75"/>
      <c r="H437" s="76"/>
      <c r="I437" s="78"/>
      <c r="J437" s="387"/>
      <c r="K437" s="76"/>
      <c r="L437" s="79">
        <f>L436+L427+L403+L385</f>
        <v>3813520000</v>
      </c>
      <c r="M437" s="79"/>
      <c r="N437" s="79"/>
      <c r="O437" s="79"/>
      <c r="P437" s="79"/>
      <c r="Q437" s="79"/>
      <c r="R437" s="79"/>
      <c r="S437" s="79"/>
      <c r="T437" s="79"/>
      <c r="U437" s="79"/>
      <c r="V437" s="223">
        <f>V436+V427+V403+V385</f>
        <v>2335924000</v>
      </c>
      <c r="W437" s="223">
        <f>W436+W427+W403+W385</f>
        <v>0</v>
      </c>
      <c r="X437" s="223">
        <f>X436+X427+X403+X385</f>
        <v>0</v>
      </c>
      <c r="Y437" s="223">
        <f>Y436+Y427+Y403+Y385</f>
        <v>6149444000</v>
      </c>
    </row>
    <row r="438" spans="1:25" ht="15" customHeight="1">
      <c r="A438" s="80"/>
      <c r="B438" s="80"/>
      <c r="C438" s="81"/>
      <c r="D438" s="80"/>
      <c r="E438" s="80"/>
      <c r="F438" s="81"/>
      <c r="G438" s="553"/>
      <c r="H438" s="82"/>
      <c r="I438" s="83"/>
      <c r="J438" s="80"/>
      <c r="K438" s="81"/>
      <c r="L438" s="84">
        <f t="shared" ref="L438" si="166">+L437</f>
        <v>3813520000</v>
      </c>
      <c r="M438" s="84"/>
      <c r="N438" s="84"/>
      <c r="O438" s="84"/>
      <c r="P438" s="84"/>
      <c r="Q438" s="84"/>
      <c r="R438" s="84"/>
      <c r="S438" s="84"/>
      <c r="T438" s="84"/>
      <c r="U438" s="84"/>
      <c r="V438" s="224">
        <f t="shared" ref="V438:Y438" si="167">+V437</f>
        <v>2335924000</v>
      </c>
      <c r="W438" s="224">
        <f t="shared" si="167"/>
        <v>0</v>
      </c>
      <c r="X438" s="224">
        <f t="shared" si="167"/>
        <v>0</v>
      </c>
      <c r="Y438" s="224">
        <f t="shared" si="167"/>
        <v>6149444000</v>
      </c>
    </row>
    <row r="439" spans="1:25" ht="28.5" customHeight="1">
      <c r="A439" s="85"/>
      <c r="B439" s="86"/>
      <c r="C439" s="87"/>
      <c r="D439" s="86"/>
      <c r="E439" s="86"/>
      <c r="F439" s="87"/>
      <c r="G439" s="135"/>
      <c r="H439" s="88"/>
      <c r="I439" s="89"/>
      <c r="J439" s="86"/>
      <c r="K439" s="87"/>
      <c r="L439" s="90"/>
      <c r="M439" s="90"/>
      <c r="N439" s="90"/>
      <c r="O439" s="90"/>
      <c r="P439" s="90"/>
      <c r="Q439" s="90"/>
      <c r="R439" s="91"/>
      <c r="S439" s="91"/>
      <c r="T439" s="90"/>
      <c r="U439" s="90"/>
      <c r="V439" s="92"/>
      <c r="W439" s="90"/>
      <c r="X439" s="90"/>
      <c r="Y439" s="94"/>
    </row>
    <row r="440" spans="1:25" ht="20.25">
      <c r="A440" s="23" t="s">
        <v>545</v>
      </c>
      <c r="B440" s="24"/>
      <c r="C440" s="25"/>
      <c r="D440" s="24"/>
      <c r="E440" s="24"/>
      <c r="F440" s="25"/>
      <c r="G440" s="24"/>
      <c r="H440" s="24"/>
      <c r="I440" s="26"/>
      <c r="J440" s="24"/>
      <c r="K440" s="25"/>
      <c r="L440" s="95"/>
      <c r="M440" s="95"/>
      <c r="N440" s="95"/>
      <c r="O440" s="95"/>
      <c r="P440" s="95"/>
      <c r="Q440" s="95"/>
      <c r="R440" s="95"/>
      <c r="S440" s="95"/>
      <c r="T440" s="95"/>
      <c r="U440" s="95"/>
      <c r="V440" s="96"/>
      <c r="W440" s="95"/>
      <c r="X440" s="95"/>
      <c r="Y440" s="97" t="s">
        <v>186</v>
      </c>
    </row>
    <row r="441" spans="1:25">
      <c r="A441" s="11">
        <v>3</v>
      </c>
      <c r="B441" s="30" t="s">
        <v>377</v>
      </c>
      <c r="C441" s="31"/>
      <c r="D441" s="30"/>
      <c r="E441" s="30"/>
      <c r="F441" s="31"/>
      <c r="G441" s="30"/>
      <c r="H441" s="30"/>
      <c r="I441" s="32"/>
      <c r="J441" s="30"/>
      <c r="K441" s="30"/>
      <c r="L441" s="98"/>
      <c r="M441" s="98"/>
      <c r="N441" s="98"/>
      <c r="O441" s="98"/>
      <c r="P441" s="98"/>
      <c r="Q441" s="98"/>
      <c r="R441" s="98"/>
      <c r="S441" s="98"/>
      <c r="T441" s="98"/>
      <c r="U441" s="98"/>
      <c r="V441" s="99"/>
      <c r="W441" s="98"/>
      <c r="X441" s="98"/>
      <c r="Y441" s="100"/>
    </row>
    <row r="442" spans="1:25">
      <c r="A442" s="101"/>
      <c r="B442" s="198">
        <v>11</v>
      </c>
      <c r="C442" s="36" t="s">
        <v>378</v>
      </c>
      <c r="D442" s="37"/>
      <c r="E442" s="37"/>
      <c r="F442" s="38"/>
      <c r="G442" s="37"/>
      <c r="H442" s="37"/>
      <c r="I442" s="39"/>
      <c r="J442" s="37"/>
      <c r="K442" s="37"/>
      <c r="L442" s="102"/>
      <c r="M442" s="102"/>
      <c r="N442" s="102"/>
      <c r="O442" s="102"/>
      <c r="P442" s="102"/>
      <c r="Q442" s="102"/>
      <c r="R442" s="102"/>
      <c r="S442" s="102"/>
      <c r="T442" s="102"/>
      <c r="U442" s="102"/>
      <c r="V442" s="103"/>
      <c r="W442" s="102"/>
      <c r="X442" s="102"/>
      <c r="Y442" s="104"/>
    </row>
    <row r="443" spans="1:25" ht="24.75" customHeight="1">
      <c r="A443" s="50"/>
      <c r="B443" s="101"/>
      <c r="C443" s="147"/>
      <c r="D443" s="146"/>
      <c r="E443" s="351">
        <v>35</v>
      </c>
      <c r="F443" s="108" t="s">
        <v>546</v>
      </c>
      <c r="G443" s="108"/>
      <c r="H443" s="108"/>
      <c r="I443" s="108"/>
      <c r="J443" s="108"/>
      <c r="K443" s="108"/>
      <c r="L443" s="111"/>
      <c r="M443" s="111"/>
      <c r="N443" s="111"/>
      <c r="O443" s="111"/>
      <c r="P443" s="111"/>
      <c r="Q443" s="111"/>
      <c r="R443" s="111"/>
      <c r="S443" s="111"/>
      <c r="T443" s="111"/>
      <c r="U443" s="111"/>
      <c r="V443" s="112"/>
      <c r="W443" s="111"/>
      <c r="X443" s="111"/>
      <c r="Y443" s="113"/>
    </row>
    <row r="444" spans="1:25" ht="90.75" customHeight="1">
      <c r="A444" s="50"/>
      <c r="B444" s="41"/>
      <c r="C444" s="54">
        <v>24</v>
      </c>
      <c r="D444" s="52" t="s">
        <v>547</v>
      </c>
      <c r="E444" s="150"/>
      <c r="F444" s="51">
        <v>127</v>
      </c>
      <c r="G444" s="52" t="s">
        <v>548</v>
      </c>
      <c r="H444" s="1095" t="s">
        <v>549</v>
      </c>
      <c r="I444" s="1076" t="s">
        <v>550</v>
      </c>
      <c r="J444" s="1077" t="s">
        <v>551</v>
      </c>
      <c r="K444" s="54" t="s">
        <v>30</v>
      </c>
      <c r="L444" s="57"/>
      <c r="M444" s="57"/>
      <c r="N444" s="57"/>
      <c r="O444" s="57"/>
      <c r="P444" s="554">
        <v>30000000</v>
      </c>
      <c r="Q444" s="57"/>
      <c r="R444" s="57"/>
      <c r="S444" s="57"/>
      <c r="T444" s="57"/>
      <c r="U444" s="57"/>
      <c r="V444" s="59"/>
      <c r="W444" s="60"/>
      <c r="X444" s="60"/>
      <c r="Y444" s="61">
        <f t="shared" ref="Y444:Y446" si="168">+L444+M444+N444+O444+P444+Q444+R444+S444+T444+U444+V444+W444+X444</f>
        <v>30000000</v>
      </c>
    </row>
    <row r="445" spans="1:25" ht="73.5" customHeight="1">
      <c r="A445" s="50"/>
      <c r="B445" s="41"/>
      <c r="C445" s="54">
        <v>24</v>
      </c>
      <c r="D445" s="52" t="s">
        <v>547</v>
      </c>
      <c r="E445" s="370"/>
      <c r="F445" s="51">
        <v>128</v>
      </c>
      <c r="G445" s="52" t="s">
        <v>552</v>
      </c>
      <c r="H445" s="1060"/>
      <c r="I445" s="1061"/>
      <c r="J445" s="1064"/>
      <c r="K445" s="54" t="s">
        <v>30</v>
      </c>
      <c r="L445" s="57"/>
      <c r="M445" s="57"/>
      <c r="N445" s="57"/>
      <c r="O445" s="57"/>
      <c r="P445" s="554">
        <v>40000000</v>
      </c>
      <c r="Q445" s="57"/>
      <c r="R445" s="57"/>
      <c r="S445" s="57"/>
      <c r="T445" s="57"/>
      <c r="U445" s="57"/>
      <c r="V445" s="59"/>
      <c r="W445" s="60"/>
      <c r="X445" s="60"/>
      <c r="Y445" s="61">
        <f t="shared" si="168"/>
        <v>40000000</v>
      </c>
    </row>
    <row r="446" spans="1:25" ht="73.5" customHeight="1">
      <c r="A446" s="50"/>
      <c r="B446" s="41"/>
      <c r="C446" s="54">
        <v>24</v>
      </c>
      <c r="D446" s="52" t="s">
        <v>547</v>
      </c>
      <c r="E446" s="371"/>
      <c r="F446" s="51">
        <v>129</v>
      </c>
      <c r="G446" s="52" t="s">
        <v>553</v>
      </c>
      <c r="H446" s="1096"/>
      <c r="I446" s="1079"/>
      <c r="J446" s="1080"/>
      <c r="K446" s="54" t="s">
        <v>30</v>
      </c>
      <c r="L446" s="57"/>
      <c r="M446" s="57"/>
      <c r="N446" s="57"/>
      <c r="O446" s="57"/>
      <c r="P446" s="554">
        <v>60000000</v>
      </c>
      <c r="Q446" s="57"/>
      <c r="R446" s="57"/>
      <c r="S446" s="57"/>
      <c r="T446" s="57"/>
      <c r="U446" s="57"/>
      <c r="V446" s="59"/>
      <c r="W446" s="60"/>
      <c r="X446" s="60"/>
      <c r="Y446" s="61">
        <f t="shared" si="168"/>
        <v>60000000</v>
      </c>
    </row>
    <row r="447" spans="1:25" ht="15">
      <c r="A447" s="50"/>
      <c r="B447" s="63"/>
      <c r="C447" s="460"/>
      <c r="D447" s="268"/>
      <c r="E447" s="64"/>
      <c r="F447" s="65"/>
      <c r="G447" s="64"/>
      <c r="H447" s="65"/>
      <c r="I447" s="67"/>
      <c r="J447" s="64"/>
      <c r="K447" s="65"/>
      <c r="L447" s="68"/>
      <c r="M447" s="68"/>
      <c r="N447" s="68"/>
      <c r="O447" s="68"/>
      <c r="P447" s="68">
        <f t="shared" ref="P447:Q447" si="169">SUM(P444:P446)</f>
        <v>130000000</v>
      </c>
      <c r="Q447" s="68">
        <f t="shared" si="169"/>
        <v>0</v>
      </c>
      <c r="R447" s="68"/>
      <c r="S447" s="68"/>
      <c r="T447" s="68"/>
      <c r="U447" s="68"/>
      <c r="V447" s="221"/>
      <c r="W447" s="68"/>
      <c r="X447" s="68"/>
      <c r="Y447" s="68">
        <f t="shared" ref="Y447" si="170">SUM(Y444:Y446)</f>
        <v>130000000</v>
      </c>
    </row>
    <row r="448" spans="1:25" ht="15">
      <c r="A448" s="50"/>
      <c r="B448" s="142"/>
      <c r="C448" s="71"/>
      <c r="D448" s="70"/>
      <c r="E448" s="70"/>
      <c r="F448" s="71"/>
      <c r="G448" s="70"/>
      <c r="H448" s="71"/>
      <c r="I448" s="73"/>
      <c r="J448" s="70"/>
      <c r="K448" s="71"/>
      <c r="L448" s="74"/>
      <c r="M448" s="74"/>
      <c r="N448" s="74"/>
      <c r="O448" s="74"/>
      <c r="P448" s="74">
        <f t="shared" ref="P448:Q448" si="171">P447</f>
        <v>130000000</v>
      </c>
      <c r="Q448" s="74">
        <f t="shared" si="171"/>
        <v>0</v>
      </c>
      <c r="R448" s="74"/>
      <c r="S448" s="74"/>
      <c r="T448" s="74"/>
      <c r="U448" s="74"/>
      <c r="V448" s="222"/>
      <c r="W448" s="74"/>
      <c r="X448" s="74"/>
      <c r="Y448" s="74">
        <f t="shared" ref="Y448" si="172">Y447</f>
        <v>130000000</v>
      </c>
    </row>
    <row r="449" spans="1:25" ht="15">
      <c r="A449" s="50"/>
      <c r="B449" s="86"/>
      <c r="C449" s="87"/>
      <c r="D449" s="86"/>
      <c r="E449" s="86"/>
      <c r="F449" s="87"/>
      <c r="G449" s="86"/>
      <c r="H449" s="147"/>
      <c r="I449" s="271"/>
      <c r="J449" s="146"/>
      <c r="K449" s="87"/>
      <c r="L449" s="90"/>
      <c r="M449" s="90"/>
      <c r="N449" s="90"/>
      <c r="O449" s="90"/>
      <c r="P449" s="90"/>
      <c r="Q449" s="90"/>
      <c r="R449" s="90"/>
      <c r="S449" s="90"/>
      <c r="T449" s="90"/>
      <c r="U449" s="90"/>
      <c r="V449" s="122"/>
      <c r="W449" s="90"/>
      <c r="X449" s="90"/>
      <c r="Y449" s="94"/>
    </row>
    <row r="450" spans="1:25">
      <c r="A450" s="50"/>
      <c r="B450" s="555">
        <v>12</v>
      </c>
      <c r="C450" s="36" t="s">
        <v>554</v>
      </c>
      <c r="D450" s="37"/>
      <c r="E450" s="37"/>
      <c r="F450" s="38"/>
      <c r="G450" s="37"/>
      <c r="H450" s="37"/>
      <c r="I450" s="39"/>
      <c r="J450" s="37"/>
      <c r="K450" s="37"/>
      <c r="L450" s="102"/>
      <c r="M450" s="102"/>
      <c r="N450" s="102"/>
      <c r="O450" s="102"/>
      <c r="P450" s="102"/>
      <c r="Q450" s="102"/>
      <c r="R450" s="102"/>
      <c r="S450" s="102"/>
      <c r="T450" s="102"/>
      <c r="U450" s="102"/>
      <c r="V450" s="103"/>
      <c r="W450" s="102"/>
      <c r="X450" s="102"/>
      <c r="Y450" s="104"/>
    </row>
    <row r="451" spans="1:25" ht="22.5" customHeight="1">
      <c r="A451" s="41"/>
      <c r="B451" s="50"/>
      <c r="C451" s="87"/>
      <c r="D451" s="86"/>
      <c r="E451" s="351">
        <v>36</v>
      </c>
      <c r="F451" s="109" t="s">
        <v>555</v>
      </c>
      <c r="G451" s="109"/>
      <c r="H451" s="109"/>
      <c r="I451" s="109"/>
      <c r="J451" s="109"/>
      <c r="K451" s="109"/>
      <c r="L451" s="111"/>
      <c r="M451" s="111"/>
      <c r="N451" s="111"/>
      <c r="O451" s="111"/>
      <c r="P451" s="111"/>
      <c r="Q451" s="111"/>
      <c r="R451" s="111"/>
      <c r="S451" s="111"/>
      <c r="T451" s="111"/>
      <c r="U451" s="111"/>
      <c r="V451" s="112"/>
      <c r="W451" s="111"/>
      <c r="X451" s="111"/>
      <c r="Y451" s="113"/>
    </row>
    <row r="452" spans="1:25" ht="78.75" customHeight="1">
      <c r="A452" s="41"/>
      <c r="B452" s="50"/>
      <c r="C452" s="160">
        <v>3</v>
      </c>
      <c r="D452" s="138" t="s">
        <v>556</v>
      </c>
      <c r="E452" s="1095"/>
      <c r="F452" s="54">
        <v>130</v>
      </c>
      <c r="G452" s="52" t="s">
        <v>557</v>
      </c>
      <c r="H452" s="1095" t="s">
        <v>549</v>
      </c>
      <c r="I452" s="1076" t="s">
        <v>558</v>
      </c>
      <c r="J452" s="1077" t="s">
        <v>559</v>
      </c>
      <c r="K452" s="54" t="s">
        <v>30</v>
      </c>
      <c r="L452" s="57"/>
      <c r="M452" s="57"/>
      <c r="N452" s="57"/>
      <c r="O452" s="57"/>
      <c r="P452" s="556">
        <v>80000000</v>
      </c>
      <c r="Q452" s="57"/>
      <c r="R452" s="57"/>
      <c r="S452" s="57"/>
      <c r="T452" s="57"/>
      <c r="U452" s="57"/>
      <c r="V452" s="59"/>
      <c r="W452" s="60"/>
      <c r="X452" s="60"/>
      <c r="Y452" s="61">
        <f t="shared" ref="Y452:Y453" si="173">+L452+M452+N452+O452+P452+Q452+R452+S452+T452+U452+V452+W452+X452</f>
        <v>80000000</v>
      </c>
    </row>
    <row r="453" spans="1:25" ht="78" customHeight="1">
      <c r="A453" s="41"/>
      <c r="B453" s="50"/>
      <c r="C453" s="160">
        <v>3</v>
      </c>
      <c r="D453" s="138" t="s">
        <v>556</v>
      </c>
      <c r="E453" s="1096"/>
      <c r="F453" s="54">
        <v>131</v>
      </c>
      <c r="G453" s="52" t="s">
        <v>560</v>
      </c>
      <c r="H453" s="1096"/>
      <c r="I453" s="1079"/>
      <c r="J453" s="1080"/>
      <c r="K453" s="54" t="s">
        <v>109</v>
      </c>
      <c r="L453" s="57"/>
      <c r="M453" s="57"/>
      <c r="N453" s="57"/>
      <c r="O453" s="57"/>
      <c r="P453" s="556">
        <v>130000000</v>
      </c>
      <c r="Q453" s="57"/>
      <c r="R453" s="57"/>
      <c r="S453" s="57"/>
      <c r="T453" s="57"/>
      <c r="U453" s="57"/>
      <c r="V453" s="59"/>
      <c r="W453" s="60"/>
      <c r="X453" s="60"/>
      <c r="Y453" s="61">
        <f t="shared" si="173"/>
        <v>130000000</v>
      </c>
    </row>
    <row r="454" spans="1:25" ht="15">
      <c r="A454" s="41"/>
      <c r="B454" s="50"/>
      <c r="C454" s="256"/>
      <c r="D454" s="232"/>
      <c r="E454" s="64"/>
      <c r="F454" s="65"/>
      <c r="G454" s="64"/>
      <c r="H454" s="65"/>
      <c r="I454" s="67"/>
      <c r="J454" s="64"/>
      <c r="K454" s="65"/>
      <c r="L454" s="68"/>
      <c r="M454" s="68"/>
      <c r="N454" s="68"/>
      <c r="O454" s="68"/>
      <c r="P454" s="437">
        <f t="shared" ref="P454:Q454" si="174">SUM(P452:P453)</f>
        <v>210000000</v>
      </c>
      <c r="Q454" s="68">
        <f t="shared" si="174"/>
        <v>0</v>
      </c>
      <c r="R454" s="68"/>
      <c r="S454" s="68"/>
      <c r="T454" s="68"/>
      <c r="U454" s="68"/>
      <c r="V454" s="221"/>
      <c r="W454" s="68"/>
      <c r="X454" s="68"/>
      <c r="Y454" s="68">
        <f t="shared" ref="Y454" si="175">SUM(Y452:Y453)</f>
        <v>210000000</v>
      </c>
    </row>
    <row r="455" spans="1:25" ht="15">
      <c r="A455" s="41"/>
      <c r="B455" s="50"/>
      <c r="C455" s="482"/>
      <c r="D455" s="483"/>
      <c r="E455" s="86"/>
      <c r="F455" s="87"/>
      <c r="G455" s="86"/>
      <c r="H455" s="147"/>
      <c r="I455" s="271"/>
      <c r="J455" s="146"/>
      <c r="K455" s="87"/>
      <c r="L455" s="90"/>
      <c r="M455" s="90"/>
      <c r="N455" s="90"/>
      <c r="O455" s="90"/>
      <c r="P455" s="90"/>
      <c r="Q455" s="90"/>
      <c r="R455" s="90"/>
      <c r="S455" s="90"/>
      <c r="T455" s="90"/>
      <c r="U455" s="90"/>
      <c r="V455" s="122"/>
      <c r="W455" s="90"/>
      <c r="X455" s="90"/>
      <c r="Y455" s="94"/>
    </row>
    <row r="456" spans="1:25" ht="22.5" customHeight="1">
      <c r="A456" s="41"/>
      <c r="B456" s="50"/>
      <c r="C456" s="482"/>
      <c r="D456" s="232"/>
      <c r="E456" s="351">
        <v>37</v>
      </c>
      <c r="F456" s="109" t="s">
        <v>561</v>
      </c>
      <c r="G456" s="109"/>
      <c r="H456" s="109"/>
      <c r="I456" s="109"/>
      <c r="J456" s="109"/>
      <c r="K456" s="109"/>
      <c r="L456" s="111"/>
      <c r="M456" s="111"/>
      <c r="N456" s="111"/>
      <c r="O456" s="111"/>
      <c r="P456" s="111"/>
      <c r="Q456" s="111"/>
      <c r="R456" s="111"/>
      <c r="S456" s="111"/>
      <c r="T456" s="111"/>
      <c r="U456" s="111"/>
      <c r="V456" s="112"/>
      <c r="W456" s="111"/>
      <c r="X456" s="111"/>
      <c r="Y456" s="113"/>
    </row>
    <row r="457" spans="1:25" ht="57">
      <c r="A457" s="41"/>
      <c r="B457" s="50"/>
      <c r="C457" s="251">
        <v>31</v>
      </c>
      <c r="D457" s="539" t="s">
        <v>491</v>
      </c>
      <c r="E457" s="136"/>
      <c r="F457" s="51">
        <v>132</v>
      </c>
      <c r="G457" s="52" t="s">
        <v>562</v>
      </c>
      <c r="H457" s="1095" t="s">
        <v>549</v>
      </c>
      <c r="I457" s="1076" t="s">
        <v>563</v>
      </c>
      <c r="J457" s="1077" t="s">
        <v>564</v>
      </c>
      <c r="K457" s="54" t="s">
        <v>30</v>
      </c>
      <c r="L457" s="57"/>
      <c r="M457" s="57"/>
      <c r="N457" s="57"/>
      <c r="O457" s="57"/>
      <c r="P457" s="557">
        <v>28000000</v>
      </c>
      <c r="Q457" s="57"/>
      <c r="R457" s="57"/>
      <c r="S457" s="57"/>
      <c r="T457" s="57"/>
      <c r="U457" s="57"/>
      <c r="V457" s="59"/>
      <c r="W457" s="60"/>
      <c r="X457" s="60"/>
      <c r="Y457" s="61">
        <f t="shared" ref="Y457:Y460" si="176">+L457+M457+N457+O457+P457+Q457+R457+S457+T457+U457+V457+W457+X457</f>
        <v>28000000</v>
      </c>
    </row>
    <row r="458" spans="1:25" ht="90.75" customHeight="1">
      <c r="A458" s="41"/>
      <c r="B458" s="50"/>
      <c r="C458" s="251">
        <v>33</v>
      </c>
      <c r="D458" s="213" t="s">
        <v>565</v>
      </c>
      <c r="E458" s="53"/>
      <c r="F458" s="51">
        <v>133</v>
      </c>
      <c r="G458" s="52" t="s">
        <v>566</v>
      </c>
      <c r="H458" s="1060"/>
      <c r="I458" s="1061"/>
      <c r="J458" s="1064"/>
      <c r="K458" s="54" t="s">
        <v>30</v>
      </c>
      <c r="L458" s="57"/>
      <c r="M458" s="57"/>
      <c r="N458" s="57"/>
      <c r="O458" s="57"/>
      <c r="P458" s="557">
        <v>28000000</v>
      </c>
      <c r="Q458" s="57"/>
      <c r="R458" s="57"/>
      <c r="S458" s="57"/>
      <c r="T458" s="57"/>
      <c r="U458" s="57"/>
      <c r="V458" s="59"/>
      <c r="W458" s="60"/>
      <c r="X458" s="60"/>
      <c r="Y458" s="61">
        <f t="shared" si="176"/>
        <v>28000000</v>
      </c>
    </row>
    <row r="459" spans="1:25" ht="71.25" customHeight="1">
      <c r="A459" s="41"/>
      <c r="B459" s="50"/>
      <c r="C459" s="54">
        <v>33</v>
      </c>
      <c r="D459" s="558" t="s">
        <v>567</v>
      </c>
      <c r="E459" s="53"/>
      <c r="F459" s="54">
        <v>134</v>
      </c>
      <c r="G459" s="52" t="s">
        <v>568</v>
      </c>
      <c r="H459" s="1060"/>
      <c r="I459" s="1061"/>
      <c r="J459" s="1064"/>
      <c r="K459" s="54" t="s">
        <v>30</v>
      </c>
      <c r="L459" s="57"/>
      <c r="M459" s="57"/>
      <c r="N459" s="57"/>
      <c r="O459" s="57"/>
      <c r="P459" s="557">
        <v>60000000</v>
      </c>
      <c r="Q459" s="57"/>
      <c r="R459" s="57"/>
      <c r="S459" s="57"/>
      <c r="T459" s="57"/>
      <c r="U459" s="57"/>
      <c r="V459" s="59"/>
      <c r="W459" s="60"/>
      <c r="X459" s="60"/>
      <c r="Y459" s="61">
        <f t="shared" si="176"/>
        <v>60000000</v>
      </c>
    </row>
    <row r="460" spans="1:25" ht="66" customHeight="1">
      <c r="A460" s="41"/>
      <c r="B460" s="50"/>
      <c r="C460" s="54">
        <v>31</v>
      </c>
      <c r="D460" s="52" t="s">
        <v>569</v>
      </c>
      <c r="E460" s="62"/>
      <c r="F460" s="54">
        <v>135</v>
      </c>
      <c r="G460" s="52" t="s">
        <v>570</v>
      </c>
      <c r="H460" s="1096"/>
      <c r="I460" s="1079"/>
      <c r="J460" s="1080"/>
      <c r="K460" s="54" t="s">
        <v>30</v>
      </c>
      <c r="L460" s="57"/>
      <c r="M460" s="57"/>
      <c r="N460" s="57"/>
      <c r="O460" s="57"/>
      <c r="P460" s="557">
        <v>32000000</v>
      </c>
      <c r="Q460" s="57"/>
      <c r="R460" s="57"/>
      <c r="S460" s="57"/>
      <c r="T460" s="57"/>
      <c r="U460" s="57"/>
      <c r="V460" s="208"/>
      <c r="W460" s="57"/>
      <c r="X460" s="188"/>
      <c r="Y460" s="61">
        <f t="shared" si="176"/>
        <v>32000000</v>
      </c>
    </row>
    <row r="461" spans="1:25" ht="15">
      <c r="A461" s="41"/>
      <c r="B461" s="50"/>
      <c r="C461" s="256"/>
      <c r="D461" s="268"/>
      <c r="E461" s="64"/>
      <c r="F461" s="65"/>
      <c r="G461" s="64"/>
      <c r="H461" s="559"/>
      <c r="I461" s="67"/>
      <c r="J461" s="64"/>
      <c r="K461" s="65"/>
      <c r="L461" s="68"/>
      <c r="M461" s="68"/>
      <c r="N461" s="68"/>
      <c r="O461" s="68"/>
      <c r="P461" s="437">
        <f t="shared" ref="P461:Q461" si="177">SUM(P457:P460)</f>
        <v>148000000</v>
      </c>
      <c r="Q461" s="437">
        <f t="shared" si="177"/>
        <v>0</v>
      </c>
      <c r="R461" s="68"/>
      <c r="S461" s="68"/>
      <c r="T461" s="68"/>
      <c r="U461" s="68"/>
      <c r="V461" s="221"/>
      <c r="W461" s="68"/>
      <c r="X461" s="68"/>
      <c r="Y461" s="68">
        <f t="shared" ref="Y461" si="178">SUM(Y457:Y460)</f>
        <v>148000000</v>
      </c>
    </row>
    <row r="462" spans="1:25" ht="15">
      <c r="A462" s="41"/>
      <c r="B462" s="50"/>
      <c r="C462" s="482"/>
      <c r="D462" s="483"/>
      <c r="E462" s="86"/>
      <c r="F462" s="87"/>
      <c r="G462" s="86"/>
      <c r="H462" s="147"/>
      <c r="I462" s="271"/>
      <c r="J462" s="146"/>
      <c r="K462" s="87"/>
      <c r="L462" s="90"/>
      <c r="M462" s="90"/>
      <c r="N462" s="90"/>
      <c r="O462" s="90"/>
      <c r="P462" s="90"/>
      <c r="Q462" s="90"/>
      <c r="R462" s="90"/>
      <c r="S462" s="90"/>
      <c r="T462" s="90"/>
      <c r="U462" s="90"/>
      <c r="V462" s="122"/>
      <c r="W462" s="90"/>
      <c r="X462" s="91"/>
      <c r="Y462" s="94"/>
    </row>
    <row r="463" spans="1:25" ht="15">
      <c r="A463" s="41"/>
      <c r="B463" s="50"/>
      <c r="C463" s="482"/>
      <c r="D463" s="232"/>
      <c r="E463" s="351">
        <v>38</v>
      </c>
      <c r="F463" s="109" t="s">
        <v>571</v>
      </c>
      <c r="G463" s="109"/>
      <c r="H463" s="109"/>
      <c r="I463" s="109"/>
      <c r="J463" s="109"/>
      <c r="K463" s="109"/>
      <c r="L463" s="111"/>
      <c r="M463" s="111"/>
      <c r="N463" s="111"/>
      <c r="O463" s="111"/>
      <c r="P463" s="111"/>
      <c r="Q463" s="111"/>
      <c r="R463" s="111"/>
      <c r="S463" s="111"/>
      <c r="T463" s="111"/>
      <c r="U463" s="111"/>
      <c r="V463" s="112"/>
      <c r="W463" s="111"/>
      <c r="X463" s="111"/>
      <c r="Y463" s="113"/>
    </row>
    <row r="464" spans="1:25" ht="85.5">
      <c r="A464" s="41"/>
      <c r="B464" s="50"/>
      <c r="C464" s="160">
        <v>22</v>
      </c>
      <c r="D464" s="560" t="s">
        <v>158</v>
      </c>
      <c r="E464" s="561"/>
      <c r="F464" s="341">
        <v>136</v>
      </c>
      <c r="G464" s="52" t="s">
        <v>572</v>
      </c>
      <c r="H464" s="1120" t="s">
        <v>549</v>
      </c>
      <c r="I464" s="1076" t="s">
        <v>573</v>
      </c>
      <c r="J464" s="1077" t="s">
        <v>574</v>
      </c>
      <c r="K464" s="54" t="s">
        <v>30</v>
      </c>
      <c r="L464" s="57"/>
      <c r="M464" s="57"/>
      <c r="N464" s="57"/>
      <c r="O464" s="57"/>
      <c r="P464" s="554">
        <v>40000000</v>
      </c>
      <c r="Q464" s="57"/>
      <c r="R464" s="57"/>
      <c r="S464" s="57"/>
      <c r="T464" s="57"/>
      <c r="U464" s="57"/>
      <c r="V464" s="59"/>
      <c r="W464" s="60"/>
      <c r="X464" s="60"/>
      <c r="Y464" s="61">
        <f t="shared" ref="Y464:Y466" si="179">+L464+M464+N464+O464+P464+Q464+R464+S464+T464+U464+V464+W464+X464</f>
        <v>40000000</v>
      </c>
    </row>
    <row r="465" spans="1:28" ht="48" customHeight="1">
      <c r="A465" s="41"/>
      <c r="B465" s="50"/>
      <c r="C465" s="251">
        <v>10</v>
      </c>
      <c r="D465" s="213" t="s">
        <v>575</v>
      </c>
      <c r="E465" s="562"/>
      <c r="F465" s="341">
        <v>137</v>
      </c>
      <c r="G465" s="52" t="s">
        <v>576</v>
      </c>
      <c r="H465" s="1121"/>
      <c r="I465" s="1061"/>
      <c r="J465" s="1064"/>
      <c r="K465" s="54" t="s">
        <v>30</v>
      </c>
      <c r="L465" s="57"/>
      <c r="M465" s="57"/>
      <c r="N465" s="57"/>
      <c r="O465" s="57"/>
      <c r="P465" s="554">
        <v>60000000</v>
      </c>
      <c r="Q465" s="57"/>
      <c r="R465" s="57"/>
      <c r="S465" s="57"/>
      <c r="T465" s="57"/>
      <c r="U465" s="57"/>
      <c r="V465" s="59"/>
      <c r="W465" s="60"/>
      <c r="X465" s="60"/>
      <c r="Y465" s="61">
        <f t="shared" si="179"/>
        <v>60000000</v>
      </c>
    </row>
    <row r="466" spans="1:28" ht="85.5">
      <c r="A466" s="41"/>
      <c r="B466" s="50"/>
      <c r="C466" s="275">
        <v>11</v>
      </c>
      <c r="D466" s="213" t="s">
        <v>577</v>
      </c>
      <c r="E466" s="562"/>
      <c r="F466" s="341">
        <v>138</v>
      </c>
      <c r="G466" s="52" t="s">
        <v>578</v>
      </c>
      <c r="H466" s="1122"/>
      <c r="I466" s="1079"/>
      <c r="J466" s="1080"/>
      <c r="K466" s="54" t="s">
        <v>30</v>
      </c>
      <c r="L466" s="57"/>
      <c r="M466" s="57"/>
      <c r="N466" s="57"/>
      <c r="O466" s="57"/>
      <c r="P466" s="554">
        <v>40000000</v>
      </c>
      <c r="Q466" s="57"/>
      <c r="R466" s="57"/>
      <c r="S466" s="57"/>
      <c r="T466" s="57"/>
      <c r="U466" s="57"/>
      <c r="V466" s="59"/>
      <c r="W466" s="60"/>
      <c r="X466" s="60"/>
      <c r="Y466" s="61">
        <f t="shared" si="179"/>
        <v>40000000</v>
      </c>
    </row>
    <row r="467" spans="1:28" ht="15">
      <c r="A467" s="41"/>
      <c r="B467" s="50"/>
      <c r="C467" s="256"/>
      <c r="D467" s="232"/>
      <c r="E467" s="319"/>
      <c r="F467" s="66"/>
      <c r="G467" s="64"/>
      <c r="H467" s="66"/>
      <c r="I467" s="67"/>
      <c r="J467" s="383"/>
      <c r="K467" s="65"/>
      <c r="L467" s="68"/>
      <c r="M467" s="68"/>
      <c r="N467" s="68"/>
      <c r="O467" s="68"/>
      <c r="P467" s="437">
        <f t="shared" ref="P467" si="180">SUM(P464:P466)</f>
        <v>140000000</v>
      </c>
      <c r="Q467" s="68"/>
      <c r="R467" s="68"/>
      <c r="S467" s="68"/>
      <c r="T467" s="68"/>
      <c r="U467" s="68"/>
      <c r="V467" s="221"/>
      <c r="W467" s="68"/>
      <c r="X467" s="68"/>
      <c r="Y467" s="68">
        <f t="shared" ref="Y467" si="181">SUM(Y464:Y466)</f>
        <v>140000000</v>
      </c>
    </row>
    <row r="468" spans="1:28" ht="15">
      <c r="A468" s="41"/>
      <c r="B468" s="50"/>
      <c r="C468" s="482"/>
      <c r="D468" s="483"/>
      <c r="E468" s="86"/>
      <c r="F468" s="87"/>
      <c r="G468" s="86"/>
      <c r="H468" s="147"/>
      <c r="I468" s="271"/>
      <c r="J468" s="146"/>
      <c r="K468" s="87"/>
      <c r="L468" s="90"/>
      <c r="M468" s="90"/>
      <c r="N468" s="90"/>
      <c r="O468" s="90"/>
      <c r="P468" s="90"/>
      <c r="Q468" s="90"/>
      <c r="R468" s="90"/>
      <c r="S468" s="90"/>
      <c r="T468" s="90"/>
      <c r="U468" s="90"/>
      <c r="V468" s="122"/>
      <c r="W468" s="90"/>
      <c r="X468" s="90"/>
      <c r="Y468" s="94"/>
    </row>
    <row r="469" spans="1:28">
      <c r="A469" s="41"/>
      <c r="B469" s="50"/>
      <c r="C469" s="482"/>
      <c r="D469" s="232"/>
      <c r="E469" s="351">
        <v>39</v>
      </c>
      <c r="F469" s="108" t="s">
        <v>579</v>
      </c>
      <c r="G469" s="109"/>
      <c r="H469" s="109"/>
      <c r="I469" s="110"/>
      <c r="J469" s="109"/>
      <c r="K469" s="109"/>
      <c r="L469" s="111"/>
      <c r="M469" s="111"/>
      <c r="N469" s="111"/>
      <c r="O469" s="111"/>
      <c r="P469" s="111"/>
      <c r="Q469" s="111"/>
      <c r="R469" s="111"/>
      <c r="S469" s="111"/>
      <c r="T469" s="111"/>
      <c r="U469" s="111"/>
      <c r="V469" s="112"/>
      <c r="W469" s="111"/>
      <c r="X469" s="111"/>
      <c r="Y469" s="113"/>
    </row>
    <row r="470" spans="1:28" ht="128.25">
      <c r="A470" s="41"/>
      <c r="B470" s="50"/>
      <c r="C470" s="404">
        <v>24</v>
      </c>
      <c r="D470" s="232" t="s">
        <v>580</v>
      </c>
      <c r="E470" s="1060"/>
      <c r="F470" s="54">
        <v>139</v>
      </c>
      <c r="G470" s="52" t="s">
        <v>581</v>
      </c>
      <c r="H470" s="1060" t="s">
        <v>549</v>
      </c>
      <c r="I470" s="1076" t="s">
        <v>582</v>
      </c>
      <c r="J470" s="1077" t="s">
        <v>583</v>
      </c>
      <c r="K470" s="54" t="s">
        <v>30</v>
      </c>
      <c r="L470" s="57"/>
      <c r="M470" s="57"/>
      <c r="N470" s="57"/>
      <c r="O470" s="57"/>
      <c r="P470" s="554">
        <v>110000000</v>
      </c>
      <c r="Q470" s="57"/>
      <c r="R470" s="57"/>
      <c r="S470" s="57"/>
      <c r="T470" s="57"/>
      <c r="U470" s="57"/>
      <c r="V470" s="59"/>
      <c r="W470" s="60"/>
      <c r="X470" s="60"/>
      <c r="Y470" s="61">
        <f t="shared" ref="Y470:Y472" si="182">+L470+M470+N470+O470+P470+Q470+R470+S470+T470+U470+V470+W470+X470</f>
        <v>110000000</v>
      </c>
    </row>
    <row r="471" spans="1:28" ht="63.75" customHeight="1">
      <c r="A471" s="41"/>
      <c r="B471" s="50"/>
      <c r="C471" s="249" t="s">
        <v>584</v>
      </c>
      <c r="D471" s="563" t="s">
        <v>585</v>
      </c>
      <c r="E471" s="1060"/>
      <c r="F471" s="54">
        <v>140</v>
      </c>
      <c r="G471" s="52" t="s">
        <v>586</v>
      </c>
      <c r="H471" s="1060"/>
      <c r="I471" s="1061"/>
      <c r="J471" s="1064"/>
      <c r="K471" s="54" t="s">
        <v>30</v>
      </c>
      <c r="L471" s="57"/>
      <c r="M471" s="57"/>
      <c r="N471" s="57"/>
      <c r="O471" s="57"/>
      <c r="P471" s="554">
        <v>30000000</v>
      </c>
      <c r="Q471" s="57"/>
      <c r="R471" s="57"/>
      <c r="S471" s="57"/>
      <c r="T471" s="57"/>
      <c r="U471" s="57"/>
      <c r="V471" s="59"/>
      <c r="W471" s="60"/>
      <c r="X471" s="60"/>
      <c r="Y471" s="61">
        <f t="shared" si="182"/>
        <v>30000000</v>
      </c>
    </row>
    <row r="472" spans="1:28" ht="87" customHeight="1">
      <c r="A472" s="41"/>
      <c r="B472" s="50"/>
      <c r="C472" s="249" t="s">
        <v>584</v>
      </c>
      <c r="D472" s="563" t="s">
        <v>585</v>
      </c>
      <c r="E472" s="1096"/>
      <c r="F472" s="54">
        <v>141</v>
      </c>
      <c r="G472" s="52" t="s">
        <v>587</v>
      </c>
      <c r="H472" s="1096"/>
      <c r="I472" s="1079"/>
      <c r="J472" s="1080"/>
      <c r="K472" s="54" t="s">
        <v>30</v>
      </c>
      <c r="L472" s="57"/>
      <c r="M472" s="57"/>
      <c r="N472" s="57"/>
      <c r="O472" s="57"/>
      <c r="P472" s="554">
        <v>30000000</v>
      </c>
      <c r="Q472" s="57"/>
      <c r="R472" s="57"/>
      <c r="S472" s="57"/>
      <c r="T472" s="57"/>
      <c r="U472" s="57"/>
      <c r="V472" s="59"/>
      <c r="W472" s="60"/>
      <c r="X472" s="60"/>
      <c r="Y472" s="61">
        <f t="shared" si="182"/>
        <v>30000000</v>
      </c>
    </row>
    <row r="473" spans="1:28" ht="15">
      <c r="A473" s="41"/>
      <c r="B473" s="50"/>
      <c r="C473" s="256"/>
      <c r="D473" s="232"/>
      <c r="E473" s="64"/>
      <c r="F473" s="65"/>
      <c r="G473" s="64"/>
      <c r="H473" s="65"/>
      <c r="I473" s="67"/>
      <c r="J473" s="64"/>
      <c r="K473" s="65"/>
      <c r="L473" s="68"/>
      <c r="M473" s="68"/>
      <c r="N473" s="68"/>
      <c r="O473" s="68"/>
      <c r="P473" s="437">
        <f t="shared" ref="P473" si="183">SUM(P470:P472)</f>
        <v>170000000</v>
      </c>
      <c r="Q473" s="68"/>
      <c r="R473" s="68"/>
      <c r="S473" s="68"/>
      <c r="T473" s="68"/>
      <c r="U473" s="68"/>
      <c r="V473" s="221"/>
      <c r="W473" s="68"/>
      <c r="X473" s="68"/>
      <c r="Y473" s="68">
        <f t="shared" ref="Y473" si="184">SUM(Y470:Y472)</f>
        <v>170000000</v>
      </c>
    </row>
    <row r="474" spans="1:28" ht="15">
      <c r="A474" s="41"/>
      <c r="B474" s="50"/>
      <c r="C474" s="482"/>
      <c r="D474" s="483"/>
      <c r="E474" s="86"/>
      <c r="F474" s="87"/>
      <c r="G474" s="86"/>
      <c r="H474" s="147"/>
      <c r="I474" s="271"/>
      <c r="J474" s="146"/>
      <c r="K474" s="87"/>
      <c r="L474" s="90"/>
      <c r="M474" s="90"/>
      <c r="N474" s="90"/>
      <c r="O474" s="90"/>
      <c r="P474" s="90"/>
      <c r="Q474" s="90"/>
      <c r="R474" s="90"/>
      <c r="S474" s="90"/>
      <c r="T474" s="90"/>
      <c r="U474" s="90"/>
      <c r="V474" s="122"/>
      <c r="W474" s="90"/>
      <c r="X474" s="91"/>
      <c r="Y474" s="94"/>
    </row>
    <row r="475" spans="1:28" ht="15">
      <c r="A475" s="41"/>
      <c r="B475" s="50"/>
      <c r="C475" s="482"/>
      <c r="D475" s="232"/>
      <c r="E475" s="351">
        <v>40</v>
      </c>
      <c r="F475" s="109" t="s">
        <v>588</v>
      </c>
      <c r="G475" s="109"/>
      <c r="H475" s="109"/>
      <c r="I475" s="109"/>
      <c r="J475" s="109"/>
      <c r="K475" s="109"/>
      <c r="L475" s="111"/>
      <c r="M475" s="111"/>
      <c r="N475" s="111"/>
      <c r="O475" s="111"/>
      <c r="P475" s="111"/>
      <c r="Q475" s="111"/>
      <c r="R475" s="111"/>
      <c r="S475" s="111"/>
      <c r="T475" s="111"/>
      <c r="U475" s="111"/>
      <c r="V475" s="112"/>
      <c r="W475" s="111"/>
      <c r="X475" s="111"/>
      <c r="Y475" s="113"/>
    </row>
    <row r="476" spans="1:28" ht="93" customHeight="1">
      <c r="A476" s="41"/>
      <c r="B476" s="50"/>
      <c r="C476" s="346">
        <v>25</v>
      </c>
      <c r="D476" s="347" t="s">
        <v>589</v>
      </c>
      <c r="E476" s="136"/>
      <c r="F476" s="51">
        <v>142</v>
      </c>
      <c r="G476" s="52" t="s">
        <v>590</v>
      </c>
      <c r="H476" s="1095" t="s">
        <v>549</v>
      </c>
      <c r="I476" s="1076" t="s">
        <v>591</v>
      </c>
      <c r="J476" s="1077" t="s">
        <v>592</v>
      </c>
      <c r="K476" s="54" t="s">
        <v>30</v>
      </c>
      <c r="L476" s="57"/>
      <c r="M476" s="57"/>
      <c r="N476" s="57"/>
      <c r="O476" s="57"/>
      <c r="P476" s="57">
        <v>120000000</v>
      </c>
      <c r="Q476" s="57"/>
      <c r="R476" s="57"/>
      <c r="S476" s="57"/>
      <c r="T476" s="57"/>
      <c r="U476" s="57"/>
      <c r="V476" s="59"/>
      <c r="W476" s="60"/>
      <c r="X476" s="264"/>
      <c r="Y476" s="61">
        <f t="shared" ref="Y476:Y481" si="185">+L476+M476+N476+O476+P476+Q476+R476+S476+T476+U476+V476+W476+X476</f>
        <v>120000000</v>
      </c>
    </row>
    <row r="477" spans="1:28" ht="83.25" customHeight="1">
      <c r="A477" s="420"/>
      <c r="B477" s="226"/>
      <c r="C477" s="162" t="s">
        <v>584</v>
      </c>
      <c r="D477" s="213" t="s">
        <v>593</v>
      </c>
      <c r="E477" s="230"/>
      <c r="F477" s="256">
        <v>143</v>
      </c>
      <c r="G477" s="232" t="s">
        <v>594</v>
      </c>
      <c r="H477" s="1096"/>
      <c r="I477" s="1079"/>
      <c r="J477" s="1080"/>
      <c r="K477" s="234" t="s">
        <v>30</v>
      </c>
      <c r="L477" s="235"/>
      <c r="M477" s="235"/>
      <c r="N477" s="235"/>
      <c r="O477" s="235"/>
      <c r="P477" s="235">
        <v>20000000</v>
      </c>
      <c r="Q477" s="235"/>
      <c r="R477" s="235"/>
      <c r="S477" s="235"/>
      <c r="T477" s="235"/>
      <c r="U477" s="235"/>
      <c r="V477" s="564">
        <f>20000000-13438000-6562000</f>
        <v>0</v>
      </c>
      <c r="W477" s="238"/>
      <c r="X477" s="238"/>
      <c r="Y477" s="61">
        <f t="shared" si="185"/>
        <v>20000000</v>
      </c>
      <c r="AA477" s="565">
        <v>-6562000</v>
      </c>
      <c r="AB477" s="566" t="s">
        <v>595</v>
      </c>
    </row>
    <row r="478" spans="1:28" ht="75.75" customHeight="1">
      <c r="A478" s="420"/>
      <c r="B478" s="226"/>
      <c r="C478" s="346">
        <v>25</v>
      </c>
      <c r="D478" s="347" t="s">
        <v>589</v>
      </c>
      <c r="E478" s="230"/>
      <c r="F478" s="256">
        <v>144</v>
      </c>
      <c r="G478" s="232" t="s">
        <v>596</v>
      </c>
      <c r="H478" s="1095" t="s">
        <v>549</v>
      </c>
      <c r="I478" s="1076" t="s">
        <v>597</v>
      </c>
      <c r="J478" s="1064" t="s">
        <v>598</v>
      </c>
      <c r="K478" s="234" t="s">
        <v>30</v>
      </c>
      <c r="L478" s="235"/>
      <c r="M478" s="235"/>
      <c r="N478" s="235"/>
      <c r="O478" s="235"/>
      <c r="P478" s="235">
        <v>100000000</v>
      </c>
      <c r="Q478" s="235"/>
      <c r="R478" s="235"/>
      <c r="S478" s="235"/>
      <c r="T478" s="235"/>
      <c r="U478" s="235"/>
      <c r="V478" s="250">
        <f>75000000+55000000</f>
        <v>130000000</v>
      </c>
      <c r="W478" s="235"/>
      <c r="X478" s="235">
        <v>260110245</v>
      </c>
      <c r="Y478" s="61">
        <f t="shared" si="185"/>
        <v>490110245</v>
      </c>
    </row>
    <row r="479" spans="1:28" ht="63.75" customHeight="1">
      <c r="A479" s="41"/>
      <c r="B479" s="50"/>
      <c r="C479" s="51" t="s">
        <v>584</v>
      </c>
      <c r="D479" s="52" t="s">
        <v>599</v>
      </c>
      <c r="E479" s="53"/>
      <c r="F479" s="51">
        <v>145</v>
      </c>
      <c r="G479" s="52" t="s">
        <v>600</v>
      </c>
      <c r="H479" s="1096"/>
      <c r="I479" s="1079"/>
      <c r="J479" s="1080"/>
      <c r="K479" s="54" t="s">
        <v>30</v>
      </c>
      <c r="L479" s="57"/>
      <c r="M479" s="57"/>
      <c r="N479" s="57"/>
      <c r="O479" s="57"/>
      <c r="P479" s="57">
        <v>100000000</v>
      </c>
      <c r="Q479" s="57"/>
      <c r="R479" s="57"/>
      <c r="S479" s="57"/>
      <c r="T479" s="57"/>
      <c r="U479" s="57"/>
      <c r="V479" s="59"/>
      <c r="W479" s="60"/>
      <c r="X479" s="60">
        <v>0</v>
      </c>
      <c r="Y479" s="61">
        <f t="shared" si="185"/>
        <v>100000000</v>
      </c>
    </row>
    <row r="480" spans="1:28" ht="75" customHeight="1">
      <c r="A480" s="41"/>
      <c r="B480" s="50"/>
      <c r="C480" s="51" t="s">
        <v>584</v>
      </c>
      <c r="D480" s="52" t="s">
        <v>601</v>
      </c>
      <c r="E480" s="62"/>
      <c r="F480" s="51">
        <v>146</v>
      </c>
      <c r="G480" s="52" t="s">
        <v>602</v>
      </c>
      <c r="H480" s="54" t="s">
        <v>549</v>
      </c>
      <c r="I480" s="115" t="s">
        <v>603</v>
      </c>
      <c r="J480" s="52" t="s">
        <v>604</v>
      </c>
      <c r="K480" s="54" t="s">
        <v>30</v>
      </c>
      <c r="L480" s="57"/>
      <c r="M480" s="57"/>
      <c r="N480" s="57"/>
      <c r="O480" s="57"/>
      <c r="P480" s="57">
        <v>45000000</v>
      </c>
      <c r="Q480" s="57"/>
      <c r="R480" s="57"/>
      <c r="S480" s="57"/>
      <c r="T480" s="57"/>
      <c r="U480" s="57"/>
      <c r="V480" s="59"/>
      <c r="W480" s="60"/>
      <c r="X480" s="60">
        <v>178219793</v>
      </c>
      <c r="Y480" s="61">
        <f t="shared" si="185"/>
        <v>223219793</v>
      </c>
    </row>
    <row r="481" spans="1:25" s="579" customFormat="1" ht="75" customHeight="1">
      <c r="A481" s="567"/>
      <c r="B481" s="568"/>
      <c r="C481" s="569" t="s">
        <v>584</v>
      </c>
      <c r="D481" s="570" t="s">
        <v>605</v>
      </c>
      <c r="E481" s="571"/>
      <c r="F481" s="572">
        <v>152</v>
      </c>
      <c r="G481" s="570" t="s">
        <v>606</v>
      </c>
      <c r="H481" s="572" t="s">
        <v>549</v>
      </c>
      <c r="I481" s="573" t="s">
        <v>607</v>
      </c>
      <c r="J481" s="570" t="s">
        <v>608</v>
      </c>
      <c r="K481" s="574"/>
      <c r="L481" s="575"/>
      <c r="M481" s="575"/>
      <c r="N481" s="575"/>
      <c r="O481" s="575"/>
      <c r="P481" s="575"/>
      <c r="Q481" s="576"/>
      <c r="R481" s="575"/>
      <c r="S481" s="575"/>
      <c r="T481" s="575"/>
      <c r="U481" s="575"/>
      <c r="V481" s="564">
        <v>2929870740</v>
      </c>
      <c r="W481" s="577"/>
      <c r="X481" s="577">
        <v>0</v>
      </c>
      <c r="Y481" s="578">
        <f t="shared" si="185"/>
        <v>2929870740</v>
      </c>
    </row>
    <row r="482" spans="1:25" ht="15">
      <c r="A482" s="41"/>
      <c r="B482" s="50"/>
      <c r="C482" s="580"/>
      <c r="D482" s="581"/>
      <c r="E482" s="64"/>
      <c r="F482" s="65"/>
      <c r="G482" s="64"/>
      <c r="H482" s="65"/>
      <c r="I482" s="67"/>
      <c r="J482" s="64"/>
      <c r="K482" s="65"/>
      <c r="L482" s="68"/>
      <c r="M482" s="68"/>
      <c r="N482" s="68"/>
      <c r="O482" s="68"/>
      <c r="P482" s="437">
        <f t="shared" ref="P482:Y482" si="186">SUM(P476:P481)</f>
        <v>385000000</v>
      </c>
      <c r="Q482" s="437">
        <f t="shared" si="186"/>
        <v>0</v>
      </c>
      <c r="R482" s="68"/>
      <c r="S482" s="68"/>
      <c r="T482" s="68"/>
      <c r="U482" s="68"/>
      <c r="V482" s="68">
        <f t="shared" si="186"/>
        <v>3059870740</v>
      </c>
      <c r="W482" s="68">
        <f t="shared" si="186"/>
        <v>0</v>
      </c>
      <c r="X482" s="68">
        <f t="shared" si="186"/>
        <v>438330038</v>
      </c>
      <c r="Y482" s="68">
        <f t="shared" si="186"/>
        <v>3883200778</v>
      </c>
    </row>
    <row r="483" spans="1:25" ht="15">
      <c r="A483" s="41"/>
      <c r="B483" s="50"/>
      <c r="C483" s="87"/>
      <c r="D483" s="86"/>
      <c r="E483" s="86"/>
      <c r="F483" s="87"/>
      <c r="G483" s="86"/>
      <c r="H483" s="147"/>
      <c r="I483" s="271"/>
      <c r="J483" s="146"/>
      <c r="K483" s="87"/>
      <c r="L483" s="90"/>
      <c r="M483" s="90"/>
      <c r="N483" s="90"/>
      <c r="O483" s="90"/>
      <c r="P483" s="90"/>
      <c r="Q483" s="90"/>
      <c r="R483" s="90"/>
      <c r="S483" s="90"/>
      <c r="T483" s="90"/>
      <c r="U483" s="90"/>
      <c r="V483" s="122"/>
      <c r="W483" s="90"/>
      <c r="X483" s="91"/>
      <c r="Y483" s="94"/>
    </row>
    <row r="484" spans="1:25" ht="24.75" customHeight="1">
      <c r="A484" s="41"/>
      <c r="B484" s="50"/>
      <c r="C484" s="117"/>
      <c r="D484" s="581"/>
      <c r="E484" s="123">
        <v>41</v>
      </c>
      <c r="F484" s="109" t="s">
        <v>609</v>
      </c>
      <c r="G484" s="109"/>
      <c r="H484" s="109"/>
      <c r="I484" s="109"/>
      <c r="J484" s="109"/>
      <c r="K484" s="109"/>
      <c r="L484" s="111"/>
      <c r="M484" s="111"/>
      <c r="N484" s="111"/>
      <c r="O484" s="111"/>
      <c r="P484" s="111"/>
      <c r="Q484" s="111"/>
      <c r="R484" s="111"/>
      <c r="S484" s="111"/>
      <c r="T484" s="111"/>
      <c r="U484" s="111"/>
      <c r="V484" s="112"/>
      <c r="W484" s="111"/>
      <c r="X484" s="111"/>
      <c r="Y484" s="113"/>
    </row>
    <row r="485" spans="1:25" ht="51.75" customHeight="1">
      <c r="A485" s="41"/>
      <c r="B485" s="50"/>
      <c r="C485" s="54">
        <v>28</v>
      </c>
      <c r="D485" s="582" t="s">
        <v>610</v>
      </c>
      <c r="E485" s="136"/>
      <c r="F485" s="51">
        <v>147</v>
      </c>
      <c r="G485" s="52" t="s">
        <v>611</v>
      </c>
      <c r="H485" s="1095" t="s">
        <v>549</v>
      </c>
      <c r="I485" s="1076" t="s">
        <v>612</v>
      </c>
      <c r="J485" s="1077" t="s">
        <v>613</v>
      </c>
      <c r="K485" s="54" t="s">
        <v>30</v>
      </c>
      <c r="L485" s="57"/>
      <c r="M485" s="57"/>
      <c r="N485" s="57"/>
      <c r="O485" s="57"/>
      <c r="P485" s="57">
        <v>10000000</v>
      </c>
      <c r="Q485" s="57"/>
      <c r="R485" s="57"/>
      <c r="S485" s="57"/>
      <c r="T485" s="57"/>
      <c r="U485" s="57"/>
      <c r="V485" s="59"/>
      <c r="W485" s="60"/>
      <c r="X485" s="60"/>
      <c r="Y485" s="61">
        <f t="shared" ref="Y485:Y486" si="187">+L485+M485+N485+O485+P485+Q485+R485+S485+T485+U485+V485+W485+X485</f>
        <v>10000000</v>
      </c>
    </row>
    <row r="486" spans="1:25" ht="75">
      <c r="A486" s="41"/>
      <c r="B486" s="50"/>
      <c r="C486" s="54">
        <v>28</v>
      </c>
      <c r="D486" s="582" t="s">
        <v>610</v>
      </c>
      <c r="E486" s="62"/>
      <c r="F486" s="51">
        <v>148</v>
      </c>
      <c r="G486" s="52" t="s">
        <v>614</v>
      </c>
      <c r="H486" s="1096"/>
      <c r="I486" s="1079"/>
      <c r="J486" s="1080"/>
      <c r="K486" s="54" t="s">
        <v>30</v>
      </c>
      <c r="L486" s="57"/>
      <c r="M486" s="57"/>
      <c r="N486" s="57"/>
      <c r="O486" s="57"/>
      <c r="P486" s="57">
        <v>10000000</v>
      </c>
      <c r="Q486" s="57"/>
      <c r="R486" s="57"/>
      <c r="S486" s="57"/>
      <c r="T486" s="57"/>
      <c r="U486" s="57"/>
      <c r="V486" s="59"/>
      <c r="W486" s="60"/>
      <c r="X486" s="60"/>
      <c r="Y486" s="61">
        <f t="shared" si="187"/>
        <v>10000000</v>
      </c>
    </row>
    <row r="487" spans="1:25" ht="15">
      <c r="A487" s="41"/>
      <c r="B487" s="50"/>
      <c r="C487" s="256"/>
      <c r="D487" s="232"/>
      <c r="E487" s="64"/>
      <c r="F487" s="65"/>
      <c r="G487" s="64"/>
      <c r="H487" s="65"/>
      <c r="I487" s="67"/>
      <c r="J487" s="64"/>
      <c r="K487" s="65"/>
      <c r="L487" s="68"/>
      <c r="M487" s="68"/>
      <c r="N487" s="68"/>
      <c r="O487" s="68"/>
      <c r="P487" s="437">
        <f t="shared" ref="P487" si="188">SUM(P485:P486)</f>
        <v>20000000</v>
      </c>
      <c r="Q487" s="68"/>
      <c r="R487" s="68"/>
      <c r="S487" s="68"/>
      <c r="T487" s="68"/>
      <c r="U487" s="68"/>
      <c r="V487" s="221"/>
      <c r="W487" s="68"/>
      <c r="X487" s="68"/>
      <c r="Y487" s="68">
        <f t="shared" ref="Y487" si="189">SUM(Y485:Y486)</f>
        <v>20000000</v>
      </c>
    </row>
    <row r="488" spans="1:25" ht="15">
      <c r="A488" s="41"/>
      <c r="B488" s="50"/>
      <c r="C488" s="482"/>
      <c r="D488" s="483"/>
      <c r="E488" s="86"/>
      <c r="F488" s="87"/>
      <c r="G488" s="86"/>
      <c r="H488" s="147"/>
      <c r="I488" s="271"/>
      <c r="J488" s="146"/>
      <c r="K488" s="87"/>
      <c r="L488" s="90"/>
      <c r="M488" s="90"/>
      <c r="N488" s="90"/>
      <c r="O488" s="90"/>
      <c r="P488" s="90"/>
      <c r="Q488" s="90"/>
      <c r="R488" s="90"/>
      <c r="S488" s="90"/>
      <c r="T488" s="90"/>
      <c r="U488" s="90"/>
      <c r="V488" s="122"/>
      <c r="W488" s="90"/>
      <c r="X488" s="90"/>
      <c r="Y488" s="94"/>
    </row>
    <row r="489" spans="1:25" ht="15">
      <c r="A489" s="41"/>
      <c r="B489" s="50"/>
      <c r="C489" s="482"/>
      <c r="D489" s="232"/>
      <c r="E489" s="351">
        <v>42</v>
      </c>
      <c r="F489" s="109" t="s">
        <v>615</v>
      </c>
      <c r="G489" s="109"/>
      <c r="H489" s="109"/>
      <c r="I489" s="109"/>
      <c r="J489" s="109"/>
      <c r="K489" s="109"/>
      <c r="L489" s="111"/>
      <c r="M489" s="111"/>
      <c r="N489" s="111"/>
      <c r="O489" s="111"/>
      <c r="P489" s="111"/>
      <c r="Q489" s="111"/>
      <c r="R489" s="111"/>
      <c r="S489" s="111"/>
      <c r="T489" s="111"/>
      <c r="U489" s="111"/>
      <c r="V489" s="112"/>
      <c r="W489" s="111"/>
      <c r="X489" s="111"/>
      <c r="Y489" s="113"/>
    </row>
    <row r="490" spans="1:25" ht="66" customHeight="1">
      <c r="A490" s="41"/>
      <c r="B490" s="50"/>
      <c r="C490" s="228" t="s">
        <v>584</v>
      </c>
      <c r="D490" s="232" t="s">
        <v>616</v>
      </c>
      <c r="E490" s="1124"/>
      <c r="F490" s="341">
        <v>149</v>
      </c>
      <c r="G490" s="52" t="s">
        <v>617</v>
      </c>
      <c r="H490" s="1095" t="s">
        <v>549</v>
      </c>
      <c r="I490" s="1076" t="s">
        <v>618</v>
      </c>
      <c r="J490" s="1064" t="s">
        <v>619</v>
      </c>
      <c r="K490" s="54" t="s">
        <v>30</v>
      </c>
      <c r="L490" s="57"/>
      <c r="M490" s="57"/>
      <c r="N490" s="57"/>
      <c r="O490" s="57"/>
      <c r="P490" s="57">
        <v>48000000</v>
      </c>
      <c r="Q490" s="57"/>
      <c r="R490" s="57"/>
      <c r="S490" s="57"/>
      <c r="T490" s="57"/>
      <c r="U490" s="57"/>
      <c r="V490" s="59"/>
      <c r="W490" s="60"/>
      <c r="X490" s="60"/>
      <c r="Y490" s="61">
        <f t="shared" ref="Y490:Y491" si="190">+L490+M490+N490+O490+P490+Q490+R490+S490+T490+U490+V490+W490+X490</f>
        <v>48000000</v>
      </c>
    </row>
    <row r="491" spans="1:25" ht="71.25">
      <c r="A491" s="41"/>
      <c r="B491" s="50"/>
      <c r="C491" s="234">
        <v>28</v>
      </c>
      <c r="D491" s="232" t="s">
        <v>620</v>
      </c>
      <c r="E491" s="1125"/>
      <c r="F491" s="341">
        <v>150</v>
      </c>
      <c r="G491" s="52" t="s">
        <v>621</v>
      </c>
      <c r="H491" s="1096"/>
      <c r="I491" s="1079"/>
      <c r="J491" s="1080"/>
      <c r="K491" s="54" t="s">
        <v>30</v>
      </c>
      <c r="L491" s="57"/>
      <c r="M491" s="57"/>
      <c r="N491" s="57"/>
      <c r="O491" s="57"/>
      <c r="P491" s="57">
        <v>28000000</v>
      </c>
      <c r="Q491" s="57"/>
      <c r="R491" s="57"/>
      <c r="S491" s="57"/>
      <c r="T491" s="57"/>
      <c r="U491" s="57"/>
      <c r="V491" s="59"/>
      <c r="W491" s="60"/>
      <c r="X491" s="60"/>
      <c r="Y491" s="61">
        <f t="shared" si="190"/>
        <v>28000000</v>
      </c>
    </row>
    <row r="492" spans="1:25" ht="15">
      <c r="A492" s="41"/>
      <c r="B492" s="50"/>
      <c r="C492" s="256"/>
      <c r="D492" s="232"/>
      <c r="E492" s="319"/>
      <c r="F492" s="66"/>
      <c r="G492" s="64"/>
      <c r="H492" s="65"/>
      <c r="I492" s="67"/>
      <c r="J492" s="64"/>
      <c r="K492" s="65"/>
      <c r="L492" s="68"/>
      <c r="M492" s="68"/>
      <c r="N492" s="68"/>
      <c r="O492" s="68"/>
      <c r="P492" s="437">
        <f t="shared" ref="P492:Q492" si="191">SUM(P490:P491)</f>
        <v>76000000</v>
      </c>
      <c r="Q492" s="437">
        <f t="shared" si="191"/>
        <v>0</v>
      </c>
      <c r="R492" s="68"/>
      <c r="S492" s="68"/>
      <c r="T492" s="68"/>
      <c r="U492" s="68"/>
      <c r="V492" s="221"/>
      <c r="W492" s="68"/>
      <c r="X492" s="68"/>
      <c r="Y492" s="68">
        <f t="shared" ref="Y492" si="192">SUM(Y490:Y491)</f>
        <v>76000000</v>
      </c>
    </row>
    <row r="493" spans="1:25" ht="15">
      <c r="A493" s="41"/>
      <c r="B493" s="50"/>
      <c r="C493" s="87"/>
      <c r="D493" s="86"/>
      <c r="E493" s="86"/>
      <c r="F493" s="87"/>
      <c r="G493" s="86"/>
      <c r="H493" s="147"/>
      <c r="I493" s="271"/>
      <c r="J493" s="146"/>
      <c r="K493" s="87"/>
      <c r="L493" s="90"/>
      <c r="M493" s="90"/>
      <c r="N493" s="90"/>
      <c r="O493" s="90"/>
      <c r="P493" s="90"/>
      <c r="Q493" s="90"/>
      <c r="R493" s="90"/>
      <c r="S493" s="90"/>
      <c r="T493" s="90"/>
      <c r="U493" s="90"/>
      <c r="V493" s="122"/>
      <c r="W493" s="90"/>
      <c r="X493" s="91"/>
      <c r="Y493" s="94"/>
    </row>
    <row r="494" spans="1:25" ht="24" customHeight="1">
      <c r="A494" s="41"/>
      <c r="B494" s="41"/>
      <c r="C494" s="139"/>
      <c r="D494" s="138"/>
      <c r="E494" s="351">
        <v>43</v>
      </c>
      <c r="F494" s="109" t="s">
        <v>622</v>
      </c>
      <c r="G494" s="109"/>
      <c r="H494" s="109"/>
      <c r="I494" s="109"/>
      <c r="J494" s="109"/>
      <c r="K494" s="109"/>
      <c r="L494" s="111"/>
      <c r="M494" s="111"/>
      <c r="N494" s="111"/>
      <c r="O494" s="111"/>
      <c r="P494" s="111"/>
      <c r="Q494" s="111"/>
      <c r="R494" s="111"/>
      <c r="S494" s="111"/>
      <c r="T494" s="111"/>
      <c r="U494" s="111"/>
      <c r="V494" s="112"/>
      <c r="W494" s="111"/>
      <c r="X494" s="111"/>
      <c r="Y494" s="113"/>
    </row>
    <row r="495" spans="1:25" ht="98.25" customHeight="1">
      <c r="A495" s="420"/>
      <c r="B495" s="420"/>
      <c r="C495" s="249" t="s">
        <v>584</v>
      </c>
      <c r="D495" s="52" t="s">
        <v>605</v>
      </c>
      <c r="E495" s="1126"/>
      <c r="F495" s="234">
        <v>151</v>
      </c>
      <c r="G495" s="232" t="s">
        <v>623</v>
      </c>
      <c r="H495" s="1095" t="s">
        <v>549</v>
      </c>
      <c r="I495" s="1101" t="s">
        <v>624</v>
      </c>
      <c r="J495" s="1095" t="s">
        <v>625</v>
      </c>
      <c r="K495" s="269" t="s">
        <v>30</v>
      </c>
      <c r="L495" s="235"/>
      <c r="M495" s="235"/>
      <c r="N495" s="455"/>
      <c r="O495" s="455"/>
      <c r="P495" s="455">
        <v>70000000</v>
      </c>
      <c r="Q495" s="235"/>
      <c r="R495" s="235"/>
      <c r="S495" s="235"/>
      <c r="T495" s="235"/>
      <c r="U495" s="235"/>
      <c r="V495" s="250">
        <f>40000000-40000000</f>
        <v>0</v>
      </c>
      <c r="W495" s="235"/>
      <c r="X495" s="235"/>
      <c r="Y495" s="61">
        <f t="shared" ref="Y495:Y497" si="193">+L495+M495+N495+O495+P495+Q495+R495+S495+T495+U495+V495+W495+X495</f>
        <v>70000000</v>
      </c>
    </row>
    <row r="496" spans="1:25" ht="96.75" customHeight="1">
      <c r="A496" s="41"/>
      <c r="B496" s="41"/>
      <c r="C496" s="249" t="s">
        <v>584</v>
      </c>
      <c r="D496" s="52" t="s">
        <v>605</v>
      </c>
      <c r="E496" s="1127"/>
      <c r="F496" s="54">
        <v>152</v>
      </c>
      <c r="G496" s="52" t="s">
        <v>606</v>
      </c>
      <c r="H496" s="1060"/>
      <c r="I496" s="1073"/>
      <c r="J496" s="1060"/>
      <c r="K496" s="262" t="s">
        <v>30</v>
      </c>
      <c r="L496" s="57"/>
      <c r="M496" s="57"/>
      <c r="N496" s="57"/>
      <c r="O496" s="57"/>
      <c r="P496" s="57">
        <v>70000000</v>
      </c>
      <c r="Q496" s="57"/>
      <c r="R496" s="57"/>
      <c r="S496" s="57"/>
      <c r="T496" s="57"/>
      <c r="U496" s="57"/>
      <c r="V496" s="59"/>
      <c r="W496" s="60"/>
      <c r="X496" s="60"/>
      <c r="Y496" s="61">
        <f t="shared" si="193"/>
        <v>70000000</v>
      </c>
    </row>
    <row r="497" spans="1:25" ht="84" customHeight="1">
      <c r="A497" s="41"/>
      <c r="B497" s="41"/>
      <c r="C497" s="583" t="s">
        <v>584</v>
      </c>
      <c r="D497" s="204" t="s">
        <v>626</v>
      </c>
      <c r="E497" s="356"/>
      <c r="F497" s="54">
        <v>153</v>
      </c>
      <c r="G497" s="52" t="s">
        <v>627</v>
      </c>
      <c r="H497" s="1096"/>
      <c r="I497" s="1102"/>
      <c r="J497" s="1096"/>
      <c r="K497" s="262" t="s">
        <v>30</v>
      </c>
      <c r="L497" s="57"/>
      <c r="M497" s="57"/>
      <c r="N497" s="57"/>
      <c r="O497" s="57"/>
      <c r="P497" s="57">
        <v>20000000</v>
      </c>
      <c r="Q497" s="57">
        <f>824500000+2800528</f>
        <v>827300528</v>
      </c>
      <c r="R497" s="57"/>
      <c r="S497" s="57"/>
      <c r="T497" s="57"/>
      <c r="U497" s="57"/>
      <c r="V497" s="59"/>
      <c r="W497" s="60"/>
      <c r="X497" s="60"/>
      <c r="Y497" s="61">
        <f t="shared" si="193"/>
        <v>847300528</v>
      </c>
    </row>
    <row r="498" spans="1:25" ht="19.5" customHeight="1">
      <c r="A498" s="41"/>
      <c r="B498" s="50"/>
      <c r="C498" s="256"/>
      <c r="D498" s="232"/>
      <c r="E498" s="64"/>
      <c r="F498" s="65"/>
      <c r="G498" s="64"/>
      <c r="H498" s="66"/>
      <c r="I498" s="67"/>
      <c r="J498" s="64"/>
      <c r="K498" s="65"/>
      <c r="L498" s="68"/>
      <c r="M498" s="68"/>
      <c r="N498" s="68"/>
      <c r="O498" s="68"/>
      <c r="P498" s="437">
        <f t="shared" ref="P498:Y498" si="194">SUM(P495:P497)</f>
        <v>160000000</v>
      </c>
      <c r="Q498" s="437">
        <f t="shared" ref="Q498" si="195">SUM(Q495:Q497)</f>
        <v>827300528</v>
      </c>
      <c r="R498" s="437">
        <f t="shared" si="194"/>
        <v>0</v>
      </c>
      <c r="S498" s="68"/>
      <c r="T498" s="68"/>
      <c r="U498" s="68"/>
      <c r="V498" s="68">
        <f t="shared" si="194"/>
        <v>0</v>
      </c>
      <c r="W498" s="68">
        <f t="shared" si="194"/>
        <v>0</v>
      </c>
      <c r="X498" s="68">
        <f t="shared" si="194"/>
        <v>0</v>
      </c>
      <c r="Y498" s="68">
        <f t="shared" si="194"/>
        <v>987300528</v>
      </c>
    </row>
    <row r="499" spans="1:25" ht="22.5" customHeight="1">
      <c r="A499" s="41"/>
      <c r="B499" s="50"/>
      <c r="C499" s="482"/>
      <c r="D499" s="483"/>
      <c r="E499" s="86"/>
      <c r="F499" s="87"/>
      <c r="G499" s="86"/>
      <c r="H499" s="147"/>
      <c r="I499" s="271"/>
      <c r="J499" s="146"/>
      <c r="K499" s="87"/>
      <c r="L499" s="90"/>
      <c r="M499" s="90"/>
      <c r="N499" s="90"/>
      <c r="O499" s="90"/>
      <c r="P499" s="90"/>
      <c r="Q499" s="90"/>
      <c r="R499" s="90"/>
      <c r="S499" s="90"/>
      <c r="T499" s="90"/>
      <c r="U499" s="90"/>
      <c r="V499" s="122"/>
      <c r="W499" s="90"/>
      <c r="X499" s="90"/>
      <c r="Y499" s="94"/>
    </row>
    <row r="500" spans="1:25" ht="15">
      <c r="A500" s="41"/>
      <c r="B500" s="50"/>
      <c r="C500" s="584"/>
      <c r="D500" s="229"/>
      <c r="E500" s="585">
        <v>44</v>
      </c>
      <c r="F500" s="109" t="s">
        <v>628</v>
      </c>
      <c r="G500" s="109"/>
      <c r="H500" s="109"/>
      <c r="I500" s="109"/>
      <c r="J500" s="109"/>
      <c r="K500" s="109"/>
      <c r="L500" s="111"/>
      <c r="M500" s="111"/>
      <c r="N500" s="111"/>
      <c r="O500" s="111"/>
      <c r="P500" s="111"/>
      <c r="Q500" s="111"/>
      <c r="R500" s="111"/>
      <c r="S500" s="111"/>
      <c r="T500" s="111"/>
      <c r="U500" s="111"/>
      <c r="V500" s="112"/>
      <c r="W500" s="111"/>
      <c r="X500" s="111"/>
      <c r="Y500" s="113"/>
    </row>
    <row r="501" spans="1:25" ht="79.5" customHeight="1">
      <c r="A501" s="41"/>
      <c r="B501" s="41"/>
      <c r="C501" s="54">
        <v>37</v>
      </c>
      <c r="D501" s="52" t="s">
        <v>629</v>
      </c>
      <c r="E501" s="202"/>
      <c r="F501" s="54">
        <v>154</v>
      </c>
      <c r="G501" s="52" t="s">
        <v>630</v>
      </c>
      <c r="H501" s="1123" t="s">
        <v>549</v>
      </c>
      <c r="I501" s="1076" t="s">
        <v>631</v>
      </c>
      <c r="J501" s="1077" t="s">
        <v>632</v>
      </c>
      <c r="K501" s="54" t="s">
        <v>30</v>
      </c>
      <c r="L501" s="57"/>
      <c r="M501" s="57"/>
      <c r="N501" s="57"/>
      <c r="O501" s="57"/>
      <c r="P501" s="57">
        <v>81470000</v>
      </c>
      <c r="Q501" s="57"/>
      <c r="R501" s="57"/>
      <c r="S501" s="57"/>
      <c r="T501" s="57"/>
      <c r="U501" s="57"/>
      <c r="V501" s="59"/>
      <c r="W501" s="60"/>
      <c r="X501" s="60"/>
      <c r="Y501" s="61">
        <f t="shared" ref="Y501:Y504" si="196">+L501+M501+N501+O501+P501+Q501+R501+S501+T501+U501+V501+W501+X501</f>
        <v>81470000</v>
      </c>
    </row>
    <row r="502" spans="1:25" ht="68.25" customHeight="1">
      <c r="A502" s="41"/>
      <c r="B502" s="41"/>
      <c r="C502" s="203">
        <v>13</v>
      </c>
      <c r="D502" s="586" t="s">
        <v>633</v>
      </c>
      <c r="E502" s="202"/>
      <c r="F502" s="54">
        <v>155</v>
      </c>
      <c r="G502" s="52" t="s">
        <v>634</v>
      </c>
      <c r="H502" s="1124"/>
      <c r="I502" s="1061"/>
      <c r="J502" s="1064"/>
      <c r="K502" s="262" t="s">
        <v>30</v>
      </c>
      <c r="L502" s="57"/>
      <c r="M502" s="57"/>
      <c r="N502" s="57"/>
      <c r="O502" s="57"/>
      <c r="P502" s="57">
        <v>90000000</v>
      </c>
      <c r="Q502" s="57"/>
      <c r="R502" s="57"/>
      <c r="S502" s="57"/>
      <c r="T502" s="57"/>
      <c r="U502" s="57"/>
      <c r="V502" s="59"/>
      <c r="W502" s="60"/>
      <c r="X502" s="60"/>
      <c r="Y502" s="61">
        <f t="shared" si="196"/>
        <v>90000000</v>
      </c>
    </row>
    <row r="503" spans="1:25" ht="75" customHeight="1">
      <c r="A503" s="41"/>
      <c r="B503" s="41"/>
      <c r="C503" s="212" t="s">
        <v>635</v>
      </c>
      <c r="D503" s="587" t="s">
        <v>636</v>
      </c>
      <c r="E503" s="370"/>
      <c r="F503" s="54">
        <v>156</v>
      </c>
      <c r="G503" s="52" t="s">
        <v>637</v>
      </c>
      <c r="H503" s="1124"/>
      <c r="I503" s="1061"/>
      <c r="J503" s="1064"/>
      <c r="K503" s="262" t="s">
        <v>30</v>
      </c>
      <c r="L503" s="57"/>
      <c r="M503" s="57"/>
      <c r="N503" s="57"/>
      <c r="O503" s="57"/>
      <c r="P503" s="57">
        <v>90000000</v>
      </c>
      <c r="Q503" s="57"/>
      <c r="R503" s="57"/>
      <c r="S503" s="57"/>
      <c r="T503" s="57"/>
      <c r="U503" s="57"/>
      <c r="V503" s="59"/>
      <c r="W503" s="60"/>
      <c r="X503" s="60"/>
      <c r="Y503" s="61">
        <f t="shared" si="196"/>
        <v>90000000</v>
      </c>
    </row>
    <row r="504" spans="1:25" ht="54.75" customHeight="1">
      <c r="A504" s="41"/>
      <c r="B504" s="41"/>
      <c r="C504" s="54">
        <v>34</v>
      </c>
      <c r="D504" s="360" t="s">
        <v>638</v>
      </c>
      <c r="E504" s="370"/>
      <c r="F504" s="54">
        <v>157</v>
      </c>
      <c r="G504" s="52" t="s">
        <v>639</v>
      </c>
      <c r="H504" s="1125"/>
      <c r="I504" s="1079"/>
      <c r="J504" s="1080"/>
      <c r="K504" s="262" t="s">
        <v>30</v>
      </c>
      <c r="L504" s="57"/>
      <c r="M504" s="57"/>
      <c r="N504" s="57"/>
      <c r="O504" s="57"/>
      <c r="P504" s="57">
        <v>56000000</v>
      </c>
      <c r="Q504" s="57"/>
      <c r="R504" s="57"/>
      <c r="S504" s="57"/>
      <c r="T504" s="57"/>
      <c r="U504" s="57"/>
      <c r="V504" s="59"/>
      <c r="W504" s="60"/>
      <c r="X504" s="60"/>
      <c r="Y504" s="61">
        <f t="shared" si="196"/>
        <v>56000000</v>
      </c>
    </row>
    <row r="505" spans="1:25" ht="15">
      <c r="A505" s="41"/>
      <c r="B505" s="50"/>
      <c r="C505" s="460"/>
      <c r="D505" s="268"/>
      <c r="E505" s="64"/>
      <c r="F505" s="65"/>
      <c r="G505" s="64"/>
      <c r="H505" s="66"/>
      <c r="I505" s="67"/>
      <c r="J505" s="64"/>
      <c r="K505" s="65"/>
      <c r="L505" s="68"/>
      <c r="M505" s="68"/>
      <c r="N505" s="68"/>
      <c r="O505" s="68"/>
      <c r="P505" s="437">
        <f t="shared" ref="P505:Q505" si="197">SUM(P501:P504)</f>
        <v>317470000</v>
      </c>
      <c r="Q505" s="437">
        <f t="shared" si="197"/>
        <v>0</v>
      </c>
      <c r="R505" s="68"/>
      <c r="S505" s="68"/>
      <c r="T505" s="68"/>
      <c r="U505" s="68"/>
      <c r="V505" s="221"/>
      <c r="W505" s="68"/>
      <c r="X505" s="68"/>
      <c r="Y505" s="68">
        <f t="shared" ref="Y505" si="198">SUM(Y501:Y504)</f>
        <v>317470000</v>
      </c>
    </row>
    <row r="506" spans="1:25" ht="15">
      <c r="A506" s="41"/>
      <c r="B506" s="50"/>
      <c r="C506" s="482"/>
      <c r="D506" s="483"/>
      <c r="E506" s="86"/>
      <c r="F506" s="87"/>
      <c r="G506" s="86"/>
      <c r="H506" s="147"/>
      <c r="I506" s="271"/>
      <c r="J506" s="146"/>
      <c r="K506" s="87"/>
      <c r="L506" s="90"/>
      <c r="M506" s="90"/>
      <c r="N506" s="90"/>
      <c r="O506" s="90"/>
      <c r="P506" s="90"/>
      <c r="Q506" s="90"/>
      <c r="R506" s="90"/>
      <c r="S506" s="90"/>
      <c r="T506" s="90"/>
      <c r="U506" s="90"/>
      <c r="V506" s="122"/>
      <c r="W506" s="90"/>
      <c r="X506" s="90"/>
      <c r="Y506" s="94"/>
    </row>
    <row r="507" spans="1:25" ht="15">
      <c r="A507" s="41"/>
      <c r="B507" s="50"/>
      <c r="C507" s="482"/>
      <c r="D507" s="232"/>
      <c r="E507" s="351">
        <v>45</v>
      </c>
      <c r="F507" s="109" t="s">
        <v>640</v>
      </c>
      <c r="G507" s="109"/>
      <c r="H507" s="109"/>
      <c r="I507" s="109"/>
      <c r="J507" s="109"/>
      <c r="K507" s="109"/>
      <c r="L507" s="111"/>
      <c r="M507" s="111"/>
      <c r="N507" s="111"/>
      <c r="O507" s="111"/>
      <c r="P507" s="111"/>
      <c r="Q507" s="111"/>
      <c r="R507" s="111"/>
      <c r="S507" s="111"/>
      <c r="T507" s="111"/>
      <c r="U507" s="111"/>
      <c r="V507" s="112"/>
      <c r="W507" s="111"/>
      <c r="X507" s="111"/>
      <c r="Y507" s="113"/>
    </row>
    <row r="508" spans="1:25" ht="85.5" customHeight="1">
      <c r="A508" s="41"/>
      <c r="B508" s="50"/>
      <c r="C508" s="588">
        <v>24</v>
      </c>
      <c r="D508" s="229" t="s">
        <v>641</v>
      </c>
      <c r="E508" s="589"/>
      <c r="F508" s="341">
        <v>158</v>
      </c>
      <c r="G508" s="52" t="s">
        <v>642</v>
      </c>
      <c r="H508" s="139" t="s">
        <v>549</v>
      </c>
      <c r="I508" s="352" t="s">
        <v>643</v>
      </c>
      <c r="J508" s="138" t="s">
        <v>644</v>
      </c>
      <c r="K508" s="54" t="s">
        <v>30</v>
      </c>
      <c r="L508" s="57"/>
      <c r="M508" s="57"/>
      <c r="N508" s="57"/>
      <c r="O508" s="57"/>
      <c r="P508" s="57">
        <f>1268530000+31470000</f>
        <v>1300000000</v>
      </c>
      <c r="Q508" s="57"/>
      <c r="R508" s="57"/>
      <c r="S508" s="57"/>
      <c r="T508" s="57"/>
      <c r="U508" s="57"/>
      <c r="V508" s="59"/>
      <c r="W508" s="60"/>
      <c r="X508" s="60"/>
      <c r="Y508" s="61">
        <f t="shared" ref="Y508" si="199">+L508+M508+N508+O508+P508+Q508+R508+S508+T508+U508+V508+W508+X508</f>
        <v>1300000000</v>
      </c>
    </row>
    <row r="509" spans="1:25" ht="15">
      <c r="A509" s="41"/>
      <c r="B509" s="50"/>
      <c r="C509" s="256"/>
      <c r="D509" s="232"/>
      <c r="E509" s="319"/>
      <c r="F509" s="66"/>
      <c r="G509" s="64"/>
      <c r="H509" s="65"/>
      <c r="I509" s="67"/>
      <c r="J509" s="64"/>
      <c r="K509" s="65"/>
      <c r="L509" s="68"/>
      <c r="M509" s="68"/>
      <c r="N509" s="68"/>
      <c r="O509" s="68"/>
      <c r="P509" s="437">
        <f>SUM(P508:P508)</f>
        <v>1300000000</v>
      </c>
      <c r="Q509" s="68"/>
      <c r="R509" s="68"/>
      <c r="S509" s="68"/>
      <c r="T509" s="68"/>
      <c r="U509" s="68"/>
      <c r="V509" s="221"/>
      <c r="W509" s="68"/>
      <c r="X509" s="68"/>
      <c r="Y509" s="68">
        <f>SUM(Y508:Y508)</f>
        <v>1300000000</v>
      </c>
    </row>
    <row r="510" spans="1:25" ht="15">
      <c r="A510" s="41"/>
      <c r="B510" s="50"/>
      <c r="C510" s="482"/>
      <c r="D510" s="483"/>
      <c r="E510" s="86"/>
      <c r="F510" s="87"/>
      <c r="G510" s="86"/>
      <c r="H510" s="147"/>
      <c r="I510" s="271"/>
      <c r="J510" s="146"/>
      <c r="K510" s="87"/>
      <c r="L510" s="90"/>
      <c r="M510" s="90"/>
      <c r="N510" s="90"/>
      <c r="O510" s="90"/>
      <c r="P510" s="90"/>
      <c r="Q510" s="90"/>
      <c r="R510" s="90"/>
      <c r="S510" s="90"/>
      <c r="T510" s="90"/>
      <c r="U510" s="90"/>
      <c r="V510" s="122"/>
      <c r="W510" s="90"/>
      <c r="X510" s="90"/>
      <c r="Y510" s="94"/>
    </row>
    <row r="511" spans="1:25" ht="15">
      <c r="A511" s="41"/>
      <c r="B511" s="50"/>
      <c r="C511" s="482"/>
      <c r="D511" s="232"/>
      <c r="E511" s="351">
        <v>46</v>
      </c>
      <c r="F511" s="108" t="s">
        <v>645</v>
      </c>
      <c r="G511" s="108"/>
      <c r="H511" s="108"/>
      <c r="I511" s="108"/>
      <c r="J511" s="108"/>
      <c r="K511" s="108"/>
      <c r="L511" s="538"/>
      <c r="M511" s="111"/>
      <c r="N511" s="111"/>
      <c r="O511" s="111"/>
      <c r="P511" s="111"/>
      <c r="Q511" s="111"/>
      <c r="R511" s="111"/>
      <c r="S511" s="111"/>
      <c r="T511" s="111"/>
      <c r="U511" s="111"/>
      <c r="V511" s="112"/>
      <c r="W511" s="111"/>
      <c r="X511" s="111"/>
      <c r="Y511" s="113"/>
    </row>
    <row r="512" spans="1:25" ht="51.75" customHeight="1">
      <c r="A512" s="420"/>
      <c r="B512" s="226"/>
      <c r="C512" s="256">
        <v>26</v>
      </c>
      <c r="D512" s="268" t="s">
        <v>646</v>
      </c>
      <c r="E512" s="246"/>
      <c r="F512" s="234">
        <v>160</v>
      </c>
      <c r="G512" s="312" t="s">
        <v>647</v>
      </c>
      <c r="H512" s="234" t="s">
        <v>549</v>
      </c>
      <c r="I512" s="165" t="s">
        <v>648</v>
      </c>
      <c r="J512" s="232" t="s">
        <v>649</v>
      </c>
      <c r="K512" s="234" t="s">
        <v>30</v>
      </c>
      <c r="L512" s="235"/>
      <c r="M512" s="235"/>
      <c r="N512" s="235"/>
      <c r="O512" s="235"/>
      <c r="P512" s="274">
        <v>870000000</v>
      </c>
      <c r="Q512" s="235"/>
      <c r="R512" s="235"/>
      <c r="S512" s="235"/>
      <c r="T512" s="235"/>
      <c r="U512" s="235"/>
      <c r="V512" s="237">
        <f>243062000-243062000</f>
        <v>0</v>
      </c>
      <c r="W512" s="238"/>
      <c r="X512" s="238"/>
      <c r="Y512" s="61">
        <f t="shared" ref="Y512:Y514" si="200">+L512+M512+N512+O512+P512+Q512+R512+S512+T512+U512+V512+W512+X512</f>
        <v>870000000</v>
      </c>
    </row>
    <row r="513" spans="1:25" ht="79.5" customHeight="1">
      <c r="A513" s="41"/>
      <c r="B513" s="50"/>
      <c r="C513" s="249" t="s">
        <v>584</v>
      </c>
      <c r="D513" s="249" t="s">
        <v>650</v>
      </c>
      <c r="E513" s="53"/>
      <c r="F513" s="54">
        <v>161</v>
      </c>
      <c r="G513" s="52" t="s">
        <v>651</v>
      </c>
      <c r="H513" s="1095" t="s">
        <v>549</v>
      </c>
      <c r="I513" s="1076" t="s">
        <v>652</v>
      </c>
      <c r="J513" s="1077" t="s">
        <v>653</v>
      </c>
      <c r="K513" s="54" t="s">
        <v>30</v>
      </c>
      <c r="L513" s="57"/>
      <c r="M513" s="57"/>
      <c r="N513" s="57"/>
      <c r="O513" s="57"/>
      <c r="P513" s="168">
        <v>100000000</v>
      </c>
      <c r="Q513" s="57"/>
      <c r="R513" s="57"/>
      <c r="S513" s="57"/>
      <c r="T513" s="57"/>
      <c r="U513" s="57"/>
      <c r="V513" s="59"/>
      <c r="W513" s="60"/>
      <c r="X513" s="60"/>
      <c r="Y513" s="61">
        <f t="shared" si="200"/>
        <v>100000000</v>
      </c>
    </row>
    <row r="514" spans="1:25" ht="75.75" customHeight="1">
      <c r="A514" s="41"/>
      <c r="B514" s="50"/>
      <c r="C514" s="249" t="s">
        <v>584</v>
      </c>
      <c r="D514" s="249" t="s">
        <v>650</v>
      </c>
      <c r="E514" s="62"/>
      <c r="F514" s="54">
        <v>162</v>
      </c>
      <c r="G514" s="52" t="s">
        <v>654</v>
      </c>
      <c r="H514" s="1096"/>
      <c r="I514" s="1079"/>
      <c r="J514" s="1080"/>
      <c r="K514" s="54" t="s">
        <v>30</v>
      </c>
      <c r="L514" s="57"/>
      <c r="M514" s="57"/>
      <c r="N514" s="57"/>
      <c r="O514" s="57"/>
      <c r="P514" s="168">
        <v>300000000</v>
      </c>
      <c r="Q514" s="57"/>
      <c r="R514" s="57"/>
      <c r="S514" s="57"/>
      <c r="T514" s="57"/>
      <c r="U514" s="57"/>
      <c r="V514" s="59"/>
      <c r="W514" s="60"/>
      <c r="X514" s="60"/>
      <c r="Y514" s="61">
        <f t="shared" si="200"/>
        <v>300000000</v>
      </c>
    </row>
    <row r="515" spans="1:25" ht="15">
      <c r="A515" s="50"/>
      <c r="B515" s="63"/>
      <c r="C515" s="256"/>
      <c r="D515" s="232"/>
      <c r="E515" s="64"/>
      <c r="F515" s="65"/>
      <c r="G515" s="64"/>
      <c r="H515" s="65"/>
      <c r="I515" s="67"/>
      <c r="J515" s="64"/>
      <c r="K515" s="65"/>
      <c r="L515" s="68"/>
      <c r="M515" s="68"/>
      <c r="N515" s="68"/>
      <c r="O515" s="68"/>
      <c r="P515" s="437">
        <f t="shared" ref="P515:Q515" si="201">SUM(P512:P514)</f>
        <v>1270000000</v>
      </c>
      <c r="Q515" s="437">
        <f t="shared" si="201"/>
        <v>0</v>
      </c>
      <c r="R515" s="437">
        <f t="shared" ref="R515" si="202">SUM(R512:R514)</f>
        <v>0</v>
      </c>
      <c r="S515" s="68"/>
      <c r="T515" s="68"/>
      <c r="U515" s="68"/>
      <c r="V515" s="221">
        <f t="shared" ref="V515:Y515" si="203">SUM(V512:V514)</f>
        <v>0</v>
      </c>
      <c r="W515" s="221">
        <f t="shared" si="203"/>
        <v>0</v>
      </c>
      <c r="X515" s="221">
        <f t="shared" si="203"/>
        <v>0</v>
      </c>
      <c r="Y515" s="221">
        <f t="shared" si="203"/>
        <v>1270000000</v>
      </c>
    </row>
    <row r="516" spans="1:25" ht="15">
      <c r="A516" s="50"/>
      <c r="B516" s="142"/>
      <c r="C516" s="71"/>
      <c r="D516" s="70"/>
      <c r="E516" s="70"/>
      <c r="F516" s="71"/>
      <c r="G516" s="70"/>
      <c r="H516" s="71"/>
      <c r="I516" s="73"/>
      <c r="J516" s="70"/>
      <c r="K516" s="71"/>
      <c r="L516" s="74"/>
      <c r="M516" s="74"/>
      <c r="N516" s="74"/>
      <c r="O516" s="74"/>
      <c r="P516" s="590">
        <f>P515+P509+P505+P498+P492+P487+P482+P473+P467+P461+P454</f>
        <v>4196470000</v>
      </c>
      <c r="Q516" s="590">
        <f>Q515+Q509+Q505+Q498+Q492+Q487+Q482+Q473+Q467+Q461+Q454</f>
        <v>827300528</v>
      </c>
      <c r="R516" s="590">
        <f>R515+R509+R505+R498+R492+R487+R482+R473+R467+R461+R454</f>
        <v>0</v>
      </c>
      <c r="S516" s="74"/>
      <c r="T516" s="74"/>
      <c r="U516" s="74"/>
      <c r="V516" s="222">
        <f>V515+V509+V505+V498+V492+V487+V482+V473+V467+V461+V454</f>
        <v>3059870740</v>
      </c>
      <c r="W516" s="222">
        <f>W515+W509+W505+W498+W492+W487+W482+W473+W467+W461+W454</f>
        <v>0</v>
      </c>
      <c r="X516" s="222">
        <f>X515+X509+X505+X498+X492+X487+X482+X473+X467+X461+X454</f>
        <v>438330038</v>
      </c>
      <c r="Y516" s="222">
        <f>Y515+Y509+Y505+Y498+Y492+Y487+Y482+Y473+Y467+Y461+Y454</f>
        <v>8521971306</v>
      </c>
    </row>
    <row r="517" spans="1:25" ht="15">
      <c r="A517" s="50"/>
      <c r="B517" s="86"/>
      <c r="C517" s="87"/>
      <c r="D517" s="86"/>
      <c r="E517" s="86"/>
      <c r="F517" s="87"/>
      <c r="G517" s="86"/>
      <c r="H517" s="147"/>
      <c r="I517" s="271"/>
      <c r="J517" s="146"/>
      <c r="K517" s="87"/>
      <c r="L517" s="90"/>
      <c r="M517" s="90"/>
      <c r="N517" s="90"/>
      <c r="O517" s="90"/>
      <c r="P517" s="90"/>
      <c r="Q517" s="90"/>
      <c r="R517" s="90"/>
      <c r="S517" s="90"/>
      <c r="T517" s="90"/>
      <c r="U517" s="90"/>
      <c r="V517" s="122"/>
      <c r="W517" s="90"/>
      <c r="X517" s="91"/>
      <c r="Y517" s="94"/>
    </row>
    <row r="518" spans="1:25" ht="21.75" customHeight="1">
      <c r="A518" s="50"/>
      <c r="B518" s="555">
        <v>13</v>
      </c>
      <c r="C518" s="36" t="s">
        <v>655</v>
      </c>
      <c r="D518" s="37"/>
      <c r="E518" s="37"/>
      <c r="F518" s="38"/>
      <c r="G518" s="37"/>
      <c r="H518" s="37"/>
      <c r="I518" s="39"/>
      <c r="J518" s="37"/>
      <c r="K518" s="37"/>
      <c r="L518" s="102"/>
      <c r="M518" s="102"/>
      <c r="N518" s="102"/>
      <c r="O518" s="102"/>
      <c r="P518" s="102"/>
      <c r="Q518" s="102"/>
      <c r="R518" s="102"/>
      <c r="S518" s="102"/>
      <c r="T518" s="102"/>
      <c r="U518" s="102"/>
      <c r="V518" s="103"/>
      <c r="W518" s="102"/>
      <c r="X518" s="102"/>
      <c r="Y518" s="104"/>
    </row>
    <row r="519" spans="1:25" ht="15">
      <c r="A519" s="41"/>
      <c r="B519" s="50"/>
      <c r="C519" s="87"/>
      <c r="D519" s="86"/>
      <c r="E519" s="351">
        <v>47</v>
      </c>
      <c r="F519" s="108" t="s">
        <v>656</v>
      </c>
      <c r="G519" s="108"/>
      <c r="H519" s="108"/>
      <c r="I519" s="108"/>
      <c r="J519" s="108"/>
      <c r="K519" s="108"/>
      <c r="L519" s="111"/>
      <c r="M519" s="111"/>
      <c r="N519" s="111"/>
      <c r="O519" s="111"/>
      <c r="P519" s="111"/>
      <c r="Q519" s="111"/>
      <c r="R519" s="111"/>
      <c r="S519" s="111"/>
      <c r="T519" s="111"/>
      <c r="U519" s="111"/>
      <c r="V519" s="112"/>
      <c r="W519" s="111"/>
      <c r="X519" s="111"/>
      <c r="Y519" s="113"/>
    </row>
    <row r="520" spans="1:25" ht="71.25" customHeight="1">
      <c r="A520" s="420"/>
      <c r="B520" s="226"/>
      <c r="C520" s="256">
        <v>27</v>
      </c>
      <c r="D520" s="563" t="s">
        <v>657</v>
      </c>
      <c r="E520" s="232"/>
      <c r="F520" s="234">
        <v>163</v>
      </c>
      <c r="G520" s="232" t="s">
        <v>658</v>
      </c>
      <c r="H520" s="234" t="s">
        <v>549</v>
      </c>
      <c r="I520" s="165" t="s">
        <v>659</v>
      </c>
      <c r="J520" s="232" t="s">
        <v>660</v>
      </c>
      <c r="K520" s="234" t="s">
        <v>30</v>
      </c>
      <c r="L520" s="235"/>
      <c r="M520" s="235"/>
      <c r="N520" s="235"/>
      <c r="O520" s="235"/>
      <c r="P520" s="235"/>
      <c r="Q520" s="274"/>
      <c r="R520" s="235"/>
      <c r="S520" s="235"/>
      <c r="T520" s="235"/>
      <c r="U520" s="235"/>
      <c r="V520" s="237">
        <f>32000000+64954000</f>
        <v>96954000</v>
      </c>
      <c r="W520" s="238"/>
      <c r="X520" s="238"/>
      <c r="Y520" s="61">
        <f t="shared" ref="Y520" si="204">+L520+M520+N520+O520+P520+Q520+R520+S520+T520+U520+V520+W520+X520</f>
        <v>96954000</v>
      </c>
    </row>
    <row r="521" spans="1:25" ht="15">
      <c r="A521" s="41"/>
      <c r="B521" s="50"/>
      <c r="C521" s="460"/>
      <c r="D521" s="268"/>
      <c r="E521" s="64"/>
      <c r="F521" s="65"/>
      <c r="G521" s="64"/>
      <c r="H521" s="65"/>
      <c r="I521" s="67"/>
      <c r="J521" s="65"/>
      <c r="K521" s="65"/>
      <c r="L521" s="68"/>
      <c r="M521" s="68"/>
      <c r="N521" s="68"/>
      <c r="O521" s="68"/>
      <c r="P521" s="68"/>
      <c r="Q521" s="68"/>
      <c r="R521" s="68"/>
      <c r="S521" s="68"/>
      <c r="T521" s="68"/>
      <c r="U521" s="68"/>
      <c r="V521" s="221">
        <f t="shared" ref="V521:Y521" si="205">SUM(V520)</f>
        <v>96954000</v>
      </c>
      <c r="W521" s="221">
        <f t="shared" si="205"/>
        <v>0</v>
      </c>
      <c r="X521" s="221">
        <f t="shared" si="205"/>
        <v>0</v>
      </c>
      <c r="Y521" s="221">
        <f t="shared" si="205"/>
        <v>96954000</v>
      </c>
    </row>
    <row r="522" spans="1:25" ht="15">
      <c r="A522" s="41"/>
      <c r="B522" s="50"/>
      <c r="C522" s="482"/>
      <c r="D522" s="483"/>
      <c r="E522" s="86"/>
      <c r="F522" s="87"/>
      <c r="G522" s="86"/>
      <c r="H522" s="147"/>
      <c r="I522" s="271"/>
      <c r="J522" s="147"/>
      <c r="K522" s="87"/>
      <c r="L522" s="90"/>
      <c r="M522" s="90"/>
      <c r="N522" s="90"/>
      <c r="O522" s="90"/>
      <c r="P522" s="90"/>
      <c r="Q522" s="90"/>
      <c r="R522" s="90"/>
      <c r="S522" s="90"/>
      <c r="T522" s="90"/>
      <c r="U522" s="90"/>
      <c r="V522" s="122"/>
      <c r="W522" s="90"/>
      <c r="X522" s="90"/>
      <c r="Y522" s="94"/>
    </row>
    <row r="523" spans="1:25" ht="15">
      <c r="A523" s="41"/>
      <c r="B523" s="50"/>
      <c r="C523" s="482"/>
      <c r="D523" s="232"/>
      <c r="E523" s="351">
        <v>48</v>
      </c>
      <c r="F523" s="108" t="s">
        <v>661</v>
      </c>
      <c r="G523" s="108"/>
      <c r="H523" s="108"/>
      <c r="I523" s="108"/>
      <c r="J523" s="108"/>
      <c r="K523" s="108"/>
      <c r="L523" s="111"/>
      <c r="M523" s="111"/>
      <c r="N523" s="111"/>
      <c r="O523" s="111"/>
      <c r="P523" s="111"/>
      <c r="Q523" s="538"/>
      <c r="R523" s="111"/>
      <c r="S523" s="111"/>
      <c r="T523" s="111"/>
      <c r="U523" s="111"/>
      <c r="V523" s="112"/>
      <c r="W523" s="111"/>
      <c r="X523" s="111"/>
      <c r="Y523" s="113"/>
    </row>
    <row r="524" spans="1:25" ht="81.75" customHeight="1">
      <c r="A524" s="41"/>
      <c r="B524" s="50"/>
      <c r="C524" s="256">
        <v>27</v>
      </c>
      <c r="D524" s="563" t="s">
        <v>657</v>
      </c>
      <c r="E524" s="52"/>
      <c r="F524" s="54">
        <v>164</v>
      </c>
      <c r="G524" s="52" t="s">
        <v>662</v>
      </c>
      <c r="H524" s="54" t="s">
        <v>549</v>
      </c>
      <c r="I524" s="115" t="s">
        <v>659</v>
      </c>
      <c r="J524" s="52" t="s">
        <v>660</v>
      </c>
      <c r="K524" s="54" t="s">
        <v>30</v>
      </c>
      <c r="L524" s="57"/>
      <c r="M524" s="57"/>
      <c r="N524" s="57"/>
      <c r="O524" s="57"/>
      <c r="P524" s="57"/>
      <c r="Q524" s="240">
        <f>12795102017+78204381+6500000000+1751290800+510000000</f>
        <v>21634597198</v>
      </c>
      <c r="R524" s="57"/>
      <c r="S524" s="57"/>
      <c r="T524" s="57"/>
      <c r="U524" s="57"/>
      <c r="V524" s="59"/>
      <c r="W524" s="60"/>
      <c r="X524" s="60"/>
      <c r="Y524" s="61">
        <f t="shared" ref="Y524" si="206">+L524+M524+N524+O524+P524+Q524+R524+S524+T524+U524+V524+W524+X524</f>
        <v>21634597198</v>
      </c>
    </row>
    <row r="525" spans="1:25" ht="15">
      <c r="A525" s="41"/>
      <c r="B525" s="50"/>
      <c r="C525" s="256"/>
      <c r="D525" s="232"/>
      <c r="E525" s="64"/>
      <c r="F525" s="65"/>
      <c r="G525" s="64"/>
      <c r="H525" s="65"/>
      <c r="I525" s="67"/>
      <c r="J525" s="64"/>
      <c r="K525" s="65"/>
      <c r="L525" s="68"/>
      <c r="M525" s="68"/>
      <c r="N525" s="68"/>
      <c r="O525" s="68"/>
      <c r="P525" s="68"/>
      <c r="Q525" s="437">
        <f t="shared" ref="Q525" si="207">SUM(Q524)</f>
        <v>21634597198</v>
      </c>
      <c r="R525" s="68"/>
      <c r="S525" s="68"/>
      <c r="T525" s="68"/>
      <c r="U525" s="68"/>
      <c r="V525" s="221"/>
      <c r="W525" s="68"/>
      <c r="X525" s="68"/>
      <c r="Y525" s="68">
        <f t="shared" ref="Y525" si="208">SUM(Y524)</f>
        <v>21634597198</v>
      </c>
    </row>
    <row r="526" spans="1:25" ht="15">
      <c r="A526" s="41"/>
      <c r="B526" s="50"/>
      <c r="C526" s="482"/>
      <c r="D526" s="483"/>
      <c r="E526" s="86"/>
      <c r="F526" s="87"/>
      <c r="G526" s="86"/>
      <c r="H526" s="147"/>
      <c r="I526" s="271"/>
      <c r="J526" s="146"/>
      <c r="K526" s="87"/>
      <c r="L526" s="90"/>
      <c r="M526" s="90"/>
      <c r="N526" s="90"/>
      <c r="O526" s="90"/>
      <c r="P526" s="90"/>
      <c r="Q526" s="90"/>
      <c r="R526" s="90"/>
      <c r="S526" s="90"/>
      <c r="T526" s="90"/>
      <c r="U526" s="90"/>
      <c r="V526" s="122"/>
      <c r="W526" s="90"/>
      <c r="X526" s="90"/>
      <c r="Y526" s="94"/>
    </row>
    <row r="527" spans="1:25" ht="15">
      <c r="A527" s="41"/>
      <c r="B527" s="50"/>
      <c r="C527" s="482"/>
      <c r="D527" s="232"/>
      <c r="E527" s="351">
        <v>49</v>
      </c>
      <c r="F527" s="108" t="s">
        <v>663</v>
      </c>
      <c r="G527" s="108"/>
      <c r="H527" s="108"/>
      <c r="I527" s="108"/>
      <c r="J527" s="108"/>
      <c r="K527" s="108"/>
      <c r="L527" s="111"/>
      <c r="M527" s="111"/>
      <c r="N527" s="111"/>
      <c r="O527" s="111"/>
      <c r="P527" s="111"/>
      <c r="Q527" s="111"/>
      <c r="R527" s="111"/>
      <c r="S527" s="111"/>
      <c r="T527" s="111"/>
      <c r="U527" s="111"/>
      <c r="V527" s="112"/>
      <c r="W527" s="111"/>
      <c r="X527" s="111"/>
      <c r="Y527" s="113"/>
    </row>
    <row r="528" spans="1:25" ht="67.5" customHeight="1">
      <c r="A528" s="420"/>
      <c r="B528" s="226"/>
      <c r="C528" s="256">
        <v>27</v>
      </c>
      <c r="D528" s="563" t="s">
        <v>657</v>
      </c>
      <c r="E528" s="232"/>
      <c r="F528" s="234">
        <v>165</v>
      </c>
      <c r="G528" s="232" t="s">
        <v>664</v>
      </c>
      <c r="H528" s="591" t="s">
        <v>549</v>
      </c>
      <c r="I528" s="165" t="s">
        <v>659</v>
      </c>
      <c r="J528" s="232" t="s">
        <v>660</v>
      </c>
      <c r="K528" s="234" t="s">
        <v>30</v>
      </c>
      <c r="L528" s="235"/>
      <c r="M528" s="235"/>
      <c r="N528" s="235"/>
      <c r="O528" s="235"/>
      <c r="P528" s="235"/>
      <c r="Q528" s="274"/>
      <c r="R528" s="235"/>
      <c r="S528" s="235"/>
      <c r="T528" s="235"/>
      <c r="U528" s="235"/>
      <c r="V528" s="237">
        <f>21000000+43636000</f>
        <v>64636000</v>
      </c>
      <c r="W528" s="238"/>
      <c r="X528" s="238"/>
      <c r="Y528" s="61">
        <f t="shared" ref="Y528" si="209">+L528+M528+N528+O528+P528+Q528+R528+S528+T528+U528+V528+W528+X528</f>
        <v>64636000</v>
      </c>
    </row>
    <row r="529" spans="1:25" ht="15">
      <c r="A529" s="41"/>
      <c r="B529" s="50"/>
      <c r="C529" s="51"/>
      <c r="D529" s="52"/>
      <c r="E529" s="64"/>
      <c r="F529" s="65"/>
      <c r="G529" s="64"/>
      <c r="H529" s="592"/>
      <c r="I529" s="67"/>
      <c r="J529" s="64"/>
      <c r="K529" s="65"/>
      <c r="L529" s="68"/>
      <c r="M529" s="68"/>
      <c r="N529" s="68"/>
      <c r="O529" s="68"/>
      <c r="P529" s="68"/>
      <c r="Q529" s="437">
        <f t="shared" ref="Q529" si="210">SUM(Q528)</f>
        <v>0</v>
      </c>
      <c r="R529" s="68"/>
      <c r="S529" s="68"/>
      <c r="T529" s="68"/>
      <c r="U529" s="68"/>
      <c r="V529" s="221">
        <f t="shared" ref="V529:Y529" si="211">SUM(V528)</f>
        <v>64636000</v>
      </c>
      <c r="W529" s="221">
        <f t="shared" si="211"/>
        <v>0</v>
      </c>
      <c r="X529" s="221">
        <f t="shared" si="211"/>
        <v>0</v>
      </c>
      <c r="Y529" s="221">
        <f t="shared" si="211"/>
        <v>64636000</v>
      </c>
    </row>
    <row r="530" spans="1:25" ht="15">
      <c r="A530" s="50"/>
      <c r="B530" s="473"/>
      <c r="C530" s="71"/>
      <c r="D530" s="70"/>
      <c r="E530" s="70"/>
      <c r="F530" s="71"/>
      <c r="G530" s="70"/>
      <c r="H530" s="593"/>
      <c r="I530" s="73"/>
      <c r="J530" s="70"/>
      <c r="K530" s="71"/>
      <c r="L530" s="74"/>
      <c r="M530" s="74"/>
      <c r="N530" s="74"/>
      <c r="O530" s="74"/>
      <c r="P530" s="74"/>
      <c r="Q530" s="590">
        <f t="shared" ref="Q530" si="212">Q529+Q525+Q521</f>
        <v>21634597198</v>
      </c>
      <c r="R530" s="74"/>
      <c r="S530" s="74"/>
      <c r="T530" s="74"/>
      <c r="U530" s="74"/>
      <c r="V530" s="222">
        <f t="shared" ref="V530:Y530" si="213">V529+V525+V521</f>
        <v>161590000</v>
      </c>
      <c r="W530" s="222">
        <f t="shared" si="213"/>
        <v>0</v>
      </c>
      <c r="X530" s="222">
        <f t="shared" si="213"/>
        <v>0</v>
      </c>
      <c r="Y530" s="222">
        <f t="shared" si="213"/>
        <v>21796187198</v>
      </c>
    </row>
    <row r="531" spans="1:25" ht="15">
      <c r="A531" s="50"/>
      <c r="B531" s="86"/>
      <c r="C531" s="87"/>
      <c r="D531" s="86"/>
      <c r="E531" s="86"/>
      <c r="F531" s="87"/>
      <c r="G531" s="86"/>
      <c r="H531" s="147"/>
      <c r="I531" s="271"/>
      <c r="J531" s="146"/>
      <c r="K531" s="87"/>
      <c r="L531" s="90"/>
      <c r="M531" s="90"/>
      <c r="N531" s="90"/>
      <c r="O531" s="90"/>
      <c r="P531" s="90"/>
      <c r="Q531" s="90"/>
      <c r="R531" s="90"/>
      <c r="S531" s="90"/>
      <c r="T531" s="90"/>
      <c r="U531" s="90"/>
      <c r="V531" s="122"/>
      <c r="W531" s="90"/>
      <c r="X531" s="90"/>
      <c r="Y531" s="94"/>
    </row>
    <row r="532" spans="1:25" ht="21.75" customHeight="1">
      <c r="A532" s="50"/>
      <c r="B532" s="555">
        <v>14</v>
      </c>
      <c r="C532" s="36" t="s">
        <v>665</v>
      </c>
      <c r="D532" s="37"/>
      <c r="E532" s="37"/>
      <c r="F532" s="38"/>
      <c r="G532" s="37"/>
      <c r="H532" s="37"/>
      <c r="I532" s="39"/>
      <c r="J532" s="37"/>
      <c r="K532" s="37"/>
      <c r="L532" s="102"/>
      <c r="M532" s="102"/>
      <c r="N532" s="102"/>
      <c r="O532" s="102"/>
      <c r="P532" s="102"/>
      <c r="Q532" s="102"/>
      <c r="R532" s="102"/>
      <c r="S532" s="102"/>
      <c r="T532" s="102"/>
      <c r="U532" s="102"/>
      <c r="V532" s="103"/>
      <c r="W532" s="102"/>
      <c r="X532" s="102"/>
      <c r="Y532" s="104"/>
    </row>
    <row r="533" spans="1:25" ht="15">
      <c r="A533" s="41"/>
      <c r="B533" s="50"/>
      <c r="C533" s="87"/>
      <c r="D533" s="86"/>
      <c r="E533" s="351">
        <v>50</v>
      </c>
      <c r="F533" s="108" t="s">
        <v>666</v>
      </c>
      <c r="G533" s="108"/>
      <c r="H533" s="108"/>
      <c r="I533" s="108"/>
      <c r="J533" s="108"/>
      <c r="K533" s="108"/>
      <c r="L533" s="111"/>
      <c r="M533" s="111"/>
      <c r="N533" s="111"/>
      <c r="O533" s="111"/>
      <c r="P533" s="111"/>
      <c r="Q533" s="111"/>
      <c r="R533" s="111"/>
      <c r="S533" s="111"/>
      <c r="T533" s="111"/>
      <c r="U533" s="111"/>
      <c r="V533" s="112"/>
      <c r="W533" s="111"/>
      <c r="X533" s="111"/>
      <c r="Y533" s="113"/>
    </row>
    <row r="534" spans="1:25" ht="72.75" customHeight="1">
      <c r="A534" s="41"/>
      <c r="B534" s="330"/>
      <c r="C534" s="256">
        <v>28</v>
      </c>
      <c r="D534" s="563" t="s">
        <v>667</v>
      </c>
      <c r="E534" s="583"/>
      <c r="F534" s="54">
        <v>167</v>
      </c>
      <c r="G534" s="52" t="s">
        <v>668</v>
      </c>
      <c r="H534" s="591" t="s">
        <v>549</v>
      </c>
      <c r="I534" s="594" t="s">
        <v>669</v>
      </c>
      <c r="J534" s="330" t="s">
        <v>670</v>
      </c>
      <c r="K534" s="54" t="s">
        <v>30</v>
      </c>
      <c r="L534" s="57"/>
      <c r="M534" s="57"/>
      <c r="N534" s="188"/>
      <c r="O534" s="188"/>
      <c r="P534" s="240">
        <f>5654000000+3888000000+27056704</f>
        <v>9569056704</v>
      </c>
      <c r="Q534" s="57">
        <f>3217514779+81073318</f>
        <v>3298588097</v>
      </c>
      <c r="R534" s="57"/>
      <c r="S534" s="57"/>
      <c r="T534" s="57"/>
      <c r="U534" s="57"/>
      <c r="V534" s="59"/>
      <c r="W534" s="60"/>
      <c r="X534" s="60">
        <v>1530716729</v>
      </c>
      <c r="Y534" s="61">
        <f t="shared" ref="Y534" si="214">+L534+M534+N534+O534+P534+Q534+R534+S534+T534+U534+V534+W534+X534</f>
        <v>14398361530</v>
      </c>
    </row>
    <row r="535" spans="1:25" ht="15">
      <c r="A535" s="41"/>
      <c r="B535" s="330"/>
      <c r="C535" s="51"/>
      <c r="D535" s="52"/>
      <c r="E535" s="64"/>
      <c r="F535" s="65"/>
      <c r="G535" s="64"/>
      <c r="H535" s="592"/>
      <c r="I535" s="67"/>
      <c r="J535" s="64"/>
      <c r="K535" s="65"/>
      <c r="L535" s="68"/>
      <c r="M535" s="68"/>
      <c r="N535" s="68"/>
      <c r="O535" s="68"/>
      <c r="P535" s="437">
        <f>SUM(P534:P534)</f>
        <v>9569056704</v>
      </c>
      <c r="Q535" s="437">
        <f>SUM(Q534:Q534)</f>
        <v>3298588097</v>
      </c>
      <c r="R535" s="68"/>
      <c r="S535" s="68"/>
      <c r="T535" s="68"/>
      <c r="U535" s="68"/>
      <c r="V535" s="595"/>
      <c r="W535" s="596"/>
      <c r="X535" s="597">
        <f>SUM(X534:X534)</f>
        <v>1530716729</v>
      </c>
      <c r="Y535" s="68">
        <f>SUM(Y534:Y534)</f>
        <v>14398361530</v>
      </c>
    </row>
    <row r="536" spans="1:25" ht="15">
      <c r="A536" s="41"/>
      <c r="B536" s="330"/>
      <c r="C536" s="87"/>
      <c r="D536" s="86"/>
      <c r="E536" s="86"/>
      <c r="F536" s="87"/>
      <c r="G536" s="86"/>
      <c r="H536" s="147"/>
      <c r="I536" s="271"/>
      <c r="J536" s="146"/>
      <c r="K536" s="87"/>
      <c r="L536" s="90"/>
      <c r="M536" s="90"/>
      <c r="N536" s="90"/>
      <c r="O536" s="90"/>
      <c r="P536" s="90"/>
      <c r="Q536" s="90"/>
      <c r="R536" s="90"/>
      <c r="S536" s="90"/>
      <c r="T536" s="90"/>
      <c r="U536" s="90"/>
      <c r="V536" s="122"/>
      <c r="W536" s="90"/>
      <c r="X536" s="91"/>
      <c r="Y536" s="94"/>
    </row>
    <row r="537" spans="1:25" ht="15">
      <c r="A537" s="41"/>
      <c r="B537" s="330"/>
      <c r="C537" s="87"/>
      <c r="D537" s="52"/>
      <c r="E537" s="351">
        <v>51</v>
      </c>
      <c r="F537" s="108" t="s">
        <v>671</v>
      </c>
      <c r="G537" s="108"/>
      <c r="H537" s="108"/>
      <c r="I537" s="108"/>
      <c r="J537" s="108"/>
      <c r="K537" s="108"/>
      <c r="L537" s="111"/>
      <c r="M537" s="111"/>
      <c r="N537" s="111"/>
      <c r="O537" s="111"/>
      <c r="P537" s="111"/>
      <c r="Q537" s="111"/>
      <c r="R537" s="111"/>
      <c r="S537" s="111"/>
      <c r="T537" s="111"/>
      <c r="U537" s="111"/>
      <c r="V537" s="112"/>
      <c r="W537" s="111"/>
      <c r="X537" s="111"/>
      <c r="Y537" s="529"/>
    </row>
    <row r="538" spans="1:25" ht="70.5" customHeight="1">
      <c r="A538" s="420"/>
      <c r="B538" s="598"/>
      <c r="C538" s="256" t="s">
        <v>584</v>
      </c>
      <c r="D538" s="268" t="s">
        <v>672</v>
      </c>
      <c r="E538" s="232"/>
      <c r="F538" s="234">
        <v>169</v>
      </c>
      <c r="G538" s="232" t="s">
        <v>673</v>
      </c>
      <c r="H538" s="591" t="s">
        <v>549</v>
      </c>
      <c r="I538" s="165" t="s">
        <v>674</v>
      </c>
      <c r="J538" s="232" t="s">
        <v>675</v>
      </c>
      <c r="K538" s="234" t="s">
        <v>30</v>
      </c>
      <c r="L538" s="235"/>
      <c r="M538" s="235"/>
      <c r="N538" s="235"/>
      <c r="O538" s="235"/>
      <c r="P538" s="235"/>
      <c r="Q538" s="274"/>
      <c r="R538" s="235"/>
      <c r="S538" s="235"/>
      <c r="T538" s="235"/>
      <c r="U538" s="235"/>
      <c r="V538" s="237">
        <f>58080000-25762000</f>
        <v>32318000</v>
      </c>
      <c r="W538" s="238"/>
      <c r="X538" s="238"/>
      <c r="Y538" s="61">
        <f t="shared" ref="Y538" si="215">+L538+M538+N538+O538+P538+Q538+R538+S538+T538+U538+V538+W538+X538</f>
        <v>32318000</v>
      </c>
    </row>
    <row r="539" spans="1:25" ht="15">
      <c r="A539" s="41"/>
      <c r="B539" s="330"/>
      <c r="C539" s="51"/>
      <c r="D539" s="52"/>
      <c r="E539" s="64"/>
      <c r="F539" s="65"/>
      <c r="G539" s="64"/>
      <c r="H539" s="592"/>
      <c r="I539" s="67"/>
      <c r="J539" s="64"/>
      <c r="K539" s="65"/>
      <c r="L539" s="68"/>
      <c r="M539" s="68"/>
      <c r="N539" s="68"/>
      <c r="O539" s="68"/>
      <c r="P539" s="68"/>
      <c r="Q539" s="68"/>
      <c r="R539" s="68"/>
      <c r="S539" s="68"/>
      <c r="T539" s="68"/>
      <c r="U539" s="68"/>
      <c r="V539" s="68">
        <f t="shared" ref="V539:Y539" si="216">V538</f>
        <v>32318000</v>
      </c>
      <c r="W539" s="68">
        <f t="shared" si="216"/>
        <v>0</v>
      </c>
      <c r="X539" s="68">
        <f t="shared" si="216"/>
        <v>0</v>
      </c>
      <c r="Y539" s="68">
        <f t="shared" si="216"/>
        <v>32318000</v>
      </c>
    </row>
    <row r="540" spans="1:25" ht="15">
      <c r="A540" s="41"/>
      <c r="B540" s="330"/>
      <c r="C540" s="87"/>
      <c r="D540" s="86"/>
      <c r="E540" s="86"/>
      <c r="F540" s="87"/>
      <c r="G540" s="86"/>
      <c r="H540" s="147"/>
      <c r="I540" s="271"/>
      <c r="J540" s="146"/>
      <c r="K540" s="87"/>
      <c r="L540" s="90"/>
      <c r="M540" s="90"/>
      <c r="N540" s="90"/>
      <c r="O540" s="90"/>
      <c r="P540" s="90"/>
      <c r="Q540" s="90"/>
      <c r="R540" s="90"/>
      <c r="S540" s="90"/>
      <c r="T540" s="90"/>
      <c r="U540" s="90"/>
      <c r="V540" s="122"/>
      <c r="W540" s="90"/>
      <c r="X540" s="90"/>
      <c r="Y540" s="94"/>
    </row>
    <row r="541" spans="1:25" ht="15">
      <c r="A541" s="41"/>
      <c r="B541" s="330"/>
      <c r="C541" s="87"/>
      <c r="D541" s="52"/>
      <c r="E541" s="351">
        <v>52</v>
      </c>
      <c r="F541" s="108" t="s">
        <v>676</v>
      </c>
      <c r="G541" s="108"/>
      <c r="H541" s="108"/>
      <c r="I541" s="108"/>
      <c r="J541" s="108"/>
      <c r="K541" s="108"/>
      <c r="L541" s="111"/>
      <c r="M541" s="111"/>
      <c r="N541" s="111"/>
      <c r="O541" s="111"/>
      <c r="P541" s="111"/>
      <c r="Q541" s="111"/>
      <c r="R541" s="111"/>
      <c r="S541" s="111"/>
      <c r="T541" s="111"/>
      <c r="U541" s="111"/>
      <c r="V541" s="112"/>
      <c r="W541" s="111"/>
      <c r="X541" s="111"/>
      <c r="Y541" s="529"/>
    </row>
    <row r="542" spans="1:25" ht="86.25" customHeight="1">
      <c r="A542" s="420"/>
      <c r="B542" s="598"/>
      <c r="C542" s="256">
        <v>28</v>
      </c>
      <c r="D542" s="232" t="s">
        <v>667</v>
      </c>
      <c r="E542" s="276"/>
      <c r="F542" s="234">
        <v>172</v>
      </c>
      <c r="G542" s="232" t="s">
        <v>677</v>
      </c>
      <c r="H542" s="591" t="s">
        <v>549</v>
      </c>
      <c r="I542" s="165" t="s">
        <v>678</v>
      </c>
      <c r="J542" s="232" t="s">
        <v>679</v>
      </c>
      <c r="K542" s="234" t="s">
        <v>30</v>
      </c>
      <c r="L542" s="235"/>
      <c r="M542" s="235"/>
      <c r="N542" s="235"/>
      <c r="O542" s="235"/>
      <c r="P542" s="235"/>
      <c r="Q542" s="599"/>
      <c r="R542" s="235"/>
      <c r="S542" s="235"/>
      <c r="T542" s="235"/>
      <c r="U542" s="235"/>
      <c r="V542" s="237">
        <f>161000000+139000000</f>
        <v>300000000</v>
      </c>
      <c r="W542" s="238"/>
      <c r="X542" s="238"/>
      <c r="Y542" s="61">
        <f t="shared" ref="Y542" si="217">+L542+M542+N542+O542+P542+Q542+R542+S542+T542+U542+V542+W542+X542</f>
        <v>300000000</v>
      </c>
    </row>
    <row r="543" spans="1:25" ht="15">
      <c r="A543" s="41"/>
      <c r="B543" s="330"/>
      <c r="C543" s="51"/>
      <c r="D543" s="52"/>
      <c r="E543" s="64"/>
      <c r="F543" s="65"/>
      <c r="G543" s="64"/>
      <c r="H543" s="592"/>
      <c r="I543" s="67"/>
      <c r="J543" s="64"/>
      <c r="K543" s="65"/>
      <c r="L543" s="68"/>
      <c r="M543" s="68"/>
      <c r="N543" s="68"/>
      <c r="O543" s="68"/>
      <c r="P543" s="68"/>
      <c r="Q543" s="68"/>
      <c r="R543" s="68"/>
      <c r="S543" s="68"/>
      <c r="T543" s="68"/>
      <c r="U543" s="68"/>
      <c r="V543" s="221">
        <f>SUM(V542:V542)</f>
        <v>300000000</v>
      </c>
      <c r="W543" s="221">
        <f>SUM(W542:W542)</f>
        <v>0</v>
      </c>
      <c r="X543" s="221">
        <f>SUM(X542:X542)</f>
        <v>0</v>
      </c>
      <c r="Y543" s="221">
        <f>SUM(Y542:Y542)</f>
        <v>300000000</v>
      </c>
    </row>
    <row r="544" spans="1:25" ht="15">
      <c r="A544" s="41"/>
      <c r="B544" s="330"/>
      <c r="C544" s="87"/>
      <c r="D544" s="86"/>
      <c r="E544" s="86"/>
      <c r="F544" s="87"/>
      <c r="G544" s="86"/>
      <c r="H544" s="147"/>
      <c r="I544" s="271"/>
      <c r="J544" s="146"/>
      <c r="K544" s="87"/>
      <c r="L544" s="90"/>
      <c r="M544" s="90"/>
      <c r="N544" s="90"/>
      <c r="O544" s="90"/>
      <c r="P544" s="90"/>
      <c r="Q544" s="90"/>
      <c r="R544" s="90"/>
      <c r="S544" s="90"/>
      <c r="T544" s="90"/>
      <c r="U544" s="90"/>
      <c r="V544" s="122"/>
      <c r="W544" s="90"/>
      <c r="X544" s="90"/>
      <c r="Y544" s="94"/>
    </row>
    <row r="545" spans="1:26" ht="15">
      <c r="A545" s="41"/>
      <c r="B545" s="330"/>
      <c r="C545" s="87"/>
      <c r="D545" s="52"/>
      <c r="E545" s="351">
        <v>53</v>
      </c>
      <c r="F545" s="109" t="s">
        <v>680</v>
      </c>
      <c r="G545" s="109"/>
      <c r="H545" s="109"/>
      <c r="I545" s="109"/>
      <c r="J545" s="109"/>
      <c r="K545" s="109"/>
      <c r="L545" s="111"/>
      <c r="M545" s="111"/>
      <c r="N545" s="111"/>
      <c r="O545" s="111"/>
      <c r="P545" s="111"/>
      <c r="Q545" s="111"/>
      <c r="R545" s="111"/>
      <c r="S545" s="111"/>
      <c r="T545" s="111"/>
      <c r="U545" s="111"/>
      <c r="V545" s="112"/>
      <c r="W545" s="111"/>
      <c r="X545" s="111"/>
      <c r="Y545" s="113"/>
    </row>
    <row r="546" spans="1:26" ht="99" customHeight="1">
      <c r="A546" s="420"/>
      <c r="B546" s="598"/>
      <c r="C546" s="293">
        <v>28</v>
      </c>
      <c r="D546" s="246" t="s">
        <v>667</v>
      </c>
      <c r="E546" s="1097"/>
      <c r="F546" s="234">
        <v>173</v>
      </c>
      <c r="G546" s="232" t="s">
        <v>681</v>
      </c>
      <c r="H546" s="1140" t="s">
        <v>549</v>
      </c>
      <c r="I546" s="1092" t="s">
        <v>682</v>
      </c>
      <c r="J546" s="1094" t="s">
        <v>683</v>
      </c>
      <c r="K546" s="234" t="s">
        <v>30</v>
      </c>
      <c r="L546" s="235"/>
      <c r="M546" s="235"/>
      <c r="N546" s="235"/>
      <c r="O546" s="235"/>
      <c r="P546" s="235"/>
      <c r="Q546" s="274"/>
      <c r="R546" s="235"/>
      <c r="S546" s="235"/>
      <c r="T546" s="235"/>
      <c r="U546" s="235"/>
      <c r="V546" s="237">
        <f>18600000+13718000</f>
        <v>32318000</v>
      </c>
      <c r="W546" s="238"/>
      <c r="X546" s="238"/>
      <c r="Y546" s="61">
        <f t="shared" ref="Y546:Y547" si="218">+L546+M546+N546+O546+P546+Q546+R546+S546+T546+U546+V546+W546+X546</f>
        <v>32318000</v>
      </c>
    </row>
    <row r="547" spans="1:26" ht="62.25" customHeight="1">
      <c r="A547" s="420"/>
      <c r="B547" s="598"/>
      <c r="C547" s="293">
        <v>28</v>
      </c>
      <c r="D547" s="246" t="s">
        <v>667</v>
      </c>
      <c r="E547" s="1099"/>
      <c r="F547" s="234">
        <v>174</v>
      </c>
      <c r="G547" s="232" t="s">
        <v>684</v>
      </c>
      <c r="H547" s="1141"/>
      <c r="I547" s="1093"/>
      <c r="J547" s="1091"/>
      <c r="K547" s="234" t="s">
        <v>30</v>
      </c>
      <c r="L547" s="235"/>
      <c r="M547" s="235"/>
      <c r="N547" s="235"/>
      <c r="O547" s="235"/>
      <c r="P547" s="235"/>
      <c r="Q547" s="235"/>
      <c r="R547" s="235"/>
      <c r="S547" s="235"/>
      <c r="T547" s="235"/>
      <c r="U547" s="235"/>
      <c r="V547" s="237">
        <f>30000000+2318000</f>
        <v>32318000</v>
      </c>
      <c r="W547" s="238"/>
      <c r="X547" s="238"/>
      <c r="Y547" s="61">
        <f t="shared" si="218"/>
        <v>32318000</v>
      </c>
    </row>
    <row r="548" spans="1:26" ht="15">
      <c r="A548" s="41"/>
      <c r="B548" s="330"/>
      <c r="C548" s="51"/>
      <c r="D548" s="52"/>
      <c r="E548" s="64"/>
      <c r="F548" s="65"/>
      <c r="G548" s="64"/>
      <c r="H548" s="65"/>
      <c r="I548" s="67"/>
      <c r="J548" s="64"/>
      <c r="K548" s="65"/>
      <c r="L548" s="68"/>
      <c r="M548" s="68"/>
      <c r="N548" s="68"/>
      <c r="O548" s="68"/>
      <c r="P548" s="68"/>
      <c r="Q548" s="68"/>
      <c r="R548" s="68"/>
      <c r="S548" s="68"/>
      <c r="T548" s="68"/>
      <c r="U548" s="68"/>
      <c r="V548" s="221">
        <f t="shared" ref="V548:Y548" si="219">SUM(V546:V547)</f>
        <v>64636000</v>
      </c>
      <c r="W548" s="221">
        <f t="shared" si="219"/>
        <v>0</v>
      </c>
      <c r="X548" s="221">
        <f t="shared" si="219"/>
        <v>0</v>
      </c>
      <c r="Y548" s="221">
        <f t="shared" si="219"/>
        <v>64636000</v>
      </c>
    </row>
    <row r="549" spans="1:26" ht="15">
      <c r="A549" s="41"/>
      <c r="B549" s="330"/>
      <c r="C549" s="87"/>
      <c r="D549" s="86"/>
      <c r="E549" s="86"/>
      <c r="F549" s="87"/>
      <c r="G549" s="86"/>
      <c r="H549" s="147"/>
      <c r="I549" s="271"/>
      <c r="J549" s="146"/>
      <c r="K549" s="87"/>
      <c r="L549" s="90"/>
      <c r="M549" s="90"/>
      <c r="N549" s="90"/>
      <c r="O549" s="90"/>
      <c r="P549" s="90"/>
      <c r="Q549" s="90"/>
      <c r="R549" s="90"/>
      <c r="S549" s="90"/>
      <c r="T549" s="90"/>
      <c r="U549" s="90"/>
      <c r="V549" s="122"/>
      <c r="W549" s="90"/>
      <c r="X549" s="90"/>
      <c r="Y549" s="94"/>
    </row>
    <row r="550" spans="1:26" ht="21" customHeight="1">
      <c r="A550" s="41"/>
      <c r="B550" s="330"/>
      <c r="C550" s="87"/>
      <c r="D550" s="52"/>
      <c r="E550" s="351">
        <v>54</v>
      </c>
      <c r="F550" s="109" t="s">
        <v>685</v>
      </c>
      <c r="G550" s="109"/>
      <c r="H550" s="109"/>
      <c r="I550" s="109"/>
      <c r="J550" s="109"/>
      <c r="K550" s="109"/>
      <c r="L550" s="111"/>
      <c r="M550" s="111"/>
      <c r="N550" s="111"/>
      <c r="O550" s="111"/>
      <c r="P550" s="111"/>
      <c r="Q550" s="111"/>
      <c r="R550" s="111"/>
      <c r="S550" s="111"/>
      <c r="T550" s="111"/>
      <c r="U550" s="111"/>
      <c r="V550" s="112"/>
      <c r="W550" s="111"/>
      <c r="X550" s="111"/>
      <c r="Y550" s="113"/>
    </row>
    <row r="551" spans="1:26" ht="59.25" customHeight="1">
      <c r="A551" s="420"/>
      <c r="B551" s="598"/>
      <c r="C551" s="293">
        <v>28</v>
      </c>
      <c r="D551" s="246" t="s">
        <v>667</v>
      </c>
      <c r="E551" s="1097"/>
      <c r="F551" s="234">
        <v>175</v>
      </c>
      <c r="G551" s="232" t="s">
        <v>686</v>
      </c>
      <c r="H551" s="1097" t="s">
        <v>549</v>
      </c>
      <c r="I551" s="1092" t="s">
        <v>687</v>
      </c>
      <c r="J551" s="1094" t="s">
        <v>688</v>
      </c>
      <c r="K551" s="234" t="s">
        <v>30</v>
      </c>
      <c r="L551" s="235"/>
      <c r="M551" s="235"/>
      <c r="N551" s="235"/>
      <c r="O551" s="235"/>
      <c r="P551" s="235"/>
      <c r="Q551" s="274"/>
      <c r="R551" s="235"/>
      <c r="S551" s="235"/>
      <c r="T551" s="235"/>
      <c r="U551" s="235"/>
      <c r="V551" s="237">
        <f>29000000+30636000</f>
        <v>59636000</v>
      </c>
      <c r="W551" s="238"/>
      <c r="X551" s="238"/>
      <c r="Y551" s="61">
        <f t="shared" ref="Y551:Y552" si="220">+L551+M551+N551+O551+P551+Q551+R551+S551+T551+U551+V551+W551+X551</f>
        <v>59636000</v>
      </c>
    </row>
    <row r="552" spans="1:26" ht="71.25" customHeight="1">
      <c r="A552" s="420"/>
      <c r="B552" s="598"/>
      <c r="C552" s="293">
        <v>28</v>
      </c>
      <c r="D552" s="246" t="s">
        <v>667</v>
      </c>
      <c r="E552" s="1099"/>
      <c r="F552" s="234">
        <v>176</v>
      </c>
      <c r="G552" s="232" t="s">
        <v>689</v>
      </c>
      <c r="H552" s="1099"/>
      <c r="I552" s="1093"/>
      <c r="J552" s="1091"/>
      <c r="K552" s="234" t="s">
        <v>30</v>
      </c>
      <c r="L552" s="235"/>
      <c r="M552" s="235"/>
      <c r="N552" s="235"/>
      <c r="O552" s="235"/>
      <c r="P552" s="235"/>
      <c r="Q552" s="235"/>
      <c r="R552" s="235"/>
      <c r="S552" s="235"/>
      <c r="T552" s="235"/>
      <c r="U552" s="235"/>
      <c r="V552" s="237">
        <f>12000000-7000000</f>
        <v>5000000</v>
      </c>
      <c r="W552" s="238"/>
      <c r="X552" s="238"/>
      <c r="Y552" s="61">
        <f t="shared" si="220"/>
        <v>5000000</v>
      </c>
    </row>
    <row r="553" spans="1:26" ht="21.75" customHeight="1">
      <c r="A553" s="41"/>
      <c r="B553" s="330"/>
      <c r="C553" s="51"/>
      <c r="D553" s="52"/>
      <c r="E553" s="64"/>
      <c r="F553" s="65"/>
      <c r="G553" s="64"/>
      <c r="H553" s="65"/>
      <c r="I553" s="67"/>
      <c r="J553" s="64"/>
      <c r="K553" s="65"/>
      <c r="L553" s="68"/>
      <c r="M553" s="68"/>
      <c r="N553" s="68"/>
      <c r="O553" s="68"/>
      <c r="P553" s="437">
        <f t="shared" ref="P553:Q553" si="221">SUM(P551:P552)</f>
        <v>0</v>
      </c>
      <c r="Q553" s="437">
        <f t="shared" si="221"/>
        <v>0</v>
      </c>
      <c r="R553" s="68"/>
      <c r="S553" s="68"/>
      <c r="T553" s="68"/>
      <c r="U553" s="68"/>
      <c r="V553" s="68">
        <f t="shared" ref="V553:Y553" si="222">SUM(V551:V552)</f>
        <v>64636000</v>
      </c>
      <c r="W553" s="68">
        <f t="shared" si="222"/>
        <v>0</v>
      </c>
      <c r="X553" s="68">
        <f t="shared" si="222"/>
        <v>0</v>
      </c>
      <c r="Y553" s="68">
        <f t="shared" si="222"/>
        <v>64636000</v>
      </c>
    </row>
    <row r="554" spans="1:26" ht="15">
      <c r="A554" s="50"/>
      <c r="B554" s="473"/>
      <c r="C554" s="71"/>
      <c r="D554" s="70"/>
      <c r="E554" s="70"/>
      <c r="F554" s="71"/>
      <c r="G554" s="70"/>
      <c r="H554" s="71"/>
      <c r="I554" s="73"/>
      <c r="J554" s="70"/>
      <c r="K554" s="71"/>
      <c r="L554" s="74"/>
      <c r="M554" s="74"/>
      <c r="N554" s="74"/>
      <c r="O554" s="74"/>
      <c r="P554" s="590">
        <f>P553+P548+P543+P539+P535</f>
        <v>9569056704</v>
      </c>
      <c r="Q554" s="590">
        <f>Q553+Q548+Q543+Q539+Q535</f>
        <v>3298588097</v>
      </c>
      <c r="R554" s="74"/>
      <c r="S554" s="74"/>
      <c r="T554" s="74"/>
      <c r="U554" s="74"/>
      <c r="V554" s="74">
        <f>V553+V548+V543+V539+V535</f>
        <v>461590000</v>
      </c>
      <c r="W554" s="74">
        <f>W553+W548+W543+W539+W535</f>
        <v>0</v>
      </c>
      <c r="X554" s="74">
        <f>X553+X548+X543+X539+X535</f>
        <v>1530716729</v>
      </c>
      <c r="Y554" s="74">
        <f>Y553+Y548+Y543+Y539+Y535</f>
        <v>14859951530</v>
      </c>
    </row>
    <row r="555" spans="1:26" ht="15">
      <c r="A555" s="50"/>
      <c r="B555" s="86"/>
      <c r="C555" s="87"/>
      <c r="D555" s="86"/>
      <c r="E555" s="86"/>
      <c r="F555" s="87"/>
      <c r="G555" s="86"/>
      <c r="H555" s="147"/>
      <c r="I555" s="271"/>
      <c r="J555" s="146"/>
      <c r="K555" s="87"/>
      <c r="L555" s="90"/>
      <c r="M555" s="90"/>
      <c r="N555" s="90"/>
      <c r="O555" s="90"/>
      <c r="P555" s="90"/>
      <c r="Q555" s="90"/>
      <c r="R555" s="90"/>
      <c r="S555" s="90"/>
      <c r="T555" s="90"/>
      <c r="U555" s="90"/>
      <c r="V555" s="122"/>
      <c r="W555" s="90"/>
      <c r="X555" s="91"/>
      <c r="Y555" s="94"/>
    </row>
    <row r="556" spans="1:26">
      <c r="A556" s="50"/>
      <c r="B556" s="555">
        <v>15</v>
      </c>
      <c r="C556" s="36" t="s">
        <v>690</v>
      </c>
      <c r="D556" s="37"/>
      <c r="E556" s="37"/>
      <c r="F556" s="38"/>
      <c r="G556" s="37"/>
      <c r="H556" s="37"/>
      <c r="I556" s="39"/>
      <c r="J556" s="37"/>
      <c r="K556" s="37"/>
      <c r="L556" s="102"/>
      <c r="M556" s="102"/>
      <c r="N556" s="102"/>
      <c r="O556" s="102"/>
      <c r="P556" s="102"/>
      <c r="Q556" s="102"/>
      <c r="R556" s="102"/>
      <c r="S556" s="102"/>
      <c r="T556" s="102"/>
      <c r="U556" s="102"/>
      <c r="V556" s="103"/>
      <c r="W556" s="102"/>
      <c r="X556" s="102"/>
      <c r="Y556" s="527"/>
    </row>
    <row r="557" spans="1:26" ht="22.5" customHeight="1">
      <c r="A557" s="41"/>
      <c r="B557" s="50"/>
      <c r="C557" s="87"/>
      <c r="D557" s="86"/>
      <c r="E557" s="351">
        <v>55</v>
      </c>
      <c r="F557" s="109" t="s">
        <v>691</v>
      </c>
      <c r="G557" s="109"/>
      <c r="H557" s="109"/>
      <c r="I557" s="109"/>
      <c r="J557" s="109"/>
      <c r="K557" s="109"/>
      <c r="L557" s="111"/>
      <c r="M557" s="111"/>
      <c r="N557" s="111"/>
      <c r="O557" s="111"/>
      <c r="P557" s="111"/>
      <c r="Q557" s="111"/>
      <c r="R557" s="111"/>
      <c r="S557" s="111"/>
      <c r="T557" s="111"/>
      <c r="U557" s="111"/>
      <c r="V557" s="112"/>
      <c r="W557" s="111"/>
      <c r="X557" s="111"/>
      <c r="Y557" s="529"/>
    </row>
    <row r="558" spans="1:26" ht="90.75" customHeight="1">
      <c r="A558" s="420"/>
      <c r="B558" s="598"/>
      <c r="C558" s="256" t="s">
        <v>584</v>
      </c>
      <c r="D558" s="232" t="s">
        <v>692</v>
      </c>
      <c r="E558" s="462"/>
      <c r="F558" s="234">
        <v>178</v>
      </c>
      <c r="G558" s="232" t="s">
        <v>693</v>
      </c>
      <c r="H558" s="462" t="s">
        <v>549</v>
      </c>
      <c r="I558" s="600" t="s">
        <v>694</v>
      </c>
      <c r="J558" s="598" t="s">
        <v>695</v>
      </c>
      <c r="K558" s="269" t="s">
        <v>30</v>
      </c>
      <c r="L558" s="235"/>
      <c r="M558" s="235"/>
      <c r="N558" s="235"/>
      <c r="O558" s="235"/>
      <c r="P558" s="235"/>
      <c r="Q558" s="601">
        <v>150000000</v>
      </c>
      <c r="R558" s="235"/>
      <c r="S558" s="235"/>
      <c r="T558" s="235"/>
      <c r="U558" s="235"/>
      <c r="V558" s="237"/>
      <c r="W558" s="238"/>
      <c r="X558" s="238"/>
      <c r="Y558" s="61">
        <f t="shared" ref="Y558" si="223">+L558+M558+N558+O558+P558+Q558+R558+S558+T558+U558+V558+W558+X558</f>
        <v>150000000</v>
      </c>
      <c r="Z558" s="602"/>
    </row>
    <row r="559" spans="1:26" ht="15">
      <c r="A559" s="320"/>
      <c r="B559" s="330"/>
      <c r="C559" s="51"/>
      <c r="D559" s="52"/>
      <c r="E559" s="64"/>
      <c r="F559" s="65"/>
      <c r="G559" s="64"/>
      <c r="H559" s="65"/>
      <c r="I559" s="67"/>
      <c r="J559" s="64"/>
      <c r="K559" s="65"/>
      <c r="L559" s="68">
        <f>+L558</f>
        <v>0</v>
      </c>
      <c r="M559" s="68">
        <f t="shared" ref="M559:P560" si="224">+M558</f>
        <v>0</v>
      </c>
      <c r="N559" s="68">
        <f t="shared" si="224"/>
        <v>0</v>
      </c>
      <c r="O559" s="68">
        <f t="shared" si="224"/>
        <v>0</v>
      </c>
      <c r="P559" s="68">
        <f t="shared" si="224"/>
        <v>0</v>
      </c>
      <c r="Q559" s="68">
        <f>+Q558</f>
        <v>150000000</v>
      </c>
      <c r="R559" s="68">
        <f t="shared" ref="R559:R560" si="225">+R558</f>
        <v>0</v>
      </c>
      <c r="S559" s="68">
        <f>+S558</f>
        <v>0</v>
      </c>
      <c r="T559" s="68">
        <f t="shared" ref="T559:V560" si="226">+T558</f>
        <v>0</v>
      </c>
      <c r="U559" s="68">
        <f t="shared" si="226"/>
        <v>0</v>
      </c>
      <c r="V559" s="68">
        <f t="shared" si="226"/>
        <v>0</v>
      </c>
      <c r="W559" s="68">
        <f>+W558</f>
        <v>0</v>
      </c>
      <c r="X559" s="68">
        <f t="shared" ref="X559:Y560" si="227">+X558</f>
        <v>0</v>
      </c>
      <c r="Y559" s="68">
        <f t="shared" si="227"/>
        <v>150000000</v>
      </c>
    </row>
    <row r="560" spans="1:26" ht="15">
      <c r="A560" s="62"/>
      <c r="B560" s="473"/>
      <c r="C560" s="71"/>
      <c r="D560" s="70"/>
      <c r="E560" s="70"/>
      <c r="F560" s="71"/>
      <c r="G560" s="70"/>
      <c r="H560" s="71"/>
      <c r="I560" s="73"/>
      <c r="J560" s="70"/>
      <c r="K560" s="71"/>
      <c r="L560" s="74">
        <f>+L559</f>
        <v>0</v>
      </c>
      <c r="M560" s="74">
        <f t="shared" si="224"/>
        <v>0</v>
      </c>
      <c r="N560" s="74">
        <f t="shared" si="224"/>
        <v>0</v>
      </c>
      <c r="O560" s="74">
        <f t="shared" si="224"/>
        <v>0</v>
      </c>
      <c r="P560" s="74">
        <f t="shared" si="224"/>
        <v>0</v>
      </c>
      <c r="Q560" s="74">
        <f>+Q559</f>
        <v>150000000</v>
      </c>
      <c r="R560" s="74">
        <f t="shared" si="225"/>
        <v>0</v>
      </c>
      <c r="S560" s="74">
        <f>+S559</f>
        <v>0</v>
      </c>
      <c r="T560" s="74">
        <f t="shared" si="226"/>
        <v>0</v>
      </c>
      <c r="U560" s="74">
        <f t="shared" si="226"/>
        <v>0</v>
      </c>
      <c r="V560" s="74">
        <f t="shared" si="226"/>
        <v>0</v>
      </c>
      <c r="W560" s="74">
        <f>+W559</f>
        <v>0</v>
      </c>
      <c r="X560" s="74">
        <f t="shared" si="227"/>
        <v>0</v>
      </c>
      <c r="Y560" s="74">
        <f t="shared" si="227"/>
        <v>150000000</v>
      </c>
    </row>
    <row r="561" spans="1:26" ht="15">
      <c r="A561" s="75"/>
      <c r="B561" s="75"/>
      <c r="C561" s="76"/>
      <c r="D561" s="75"/>
      <c r="E561" s="75"/>
      <c r="F561" s="76"/>
      <c r="G561" s="75"/>
      <c r="H561" s="76"/>
      <c r="I561" s="78"/>
      <c r="J561" s="75"/>
      <c r="K561" s="76"/>
      <c r="L561" s="79">
        <f>+L560+L554+L530+L516+L448</f>
        <v>0</v>
      </c>
      <c r="M561" s="79">
        <f t="shared" ref="M561:R561" si="228">+M560+M554+M530+M516+M448</f>
        <v>0</v>
      </c>
      <c r="N561" s="79">
        <f t="shared" si="228"/>
        <v>0</v>
      </c>
      <c r="O561" s="79">
        <f t="shared" si="228"/>
        <v>0</v>
      </c>
      <c r="P561" s="79">
        <f t="shared" si="228"/>
        <v>13895526704</v>
      </c>
      <c r="Q561" s="79">
        <f t="shared" si="228"/>
        <v>25910485823</v>
      </c>
      <c r="R561" s="79">
        <f t="shared" si="228"/>
        <v>0</v>
      </c>
      <c r="S561" s="79">
        <f t="shared" ref="S561:X561" si="229">+S554+S530+S516+S448</f>
        <v>0</v>
      </c>
      <c r="T561" s="79">
        <f t="shared" si="229"/>
        <v>0</v>
      </c>
      <c r="U561" s="79">
        <f t="shared" si="229"/>
        <v>0</v>
      </c>
      <c r="V561" s="79">
        <f>+V560+V554+V530+V516+V448</f>
        <v>3683050740</v>
      </c>
      <c r="W561" s="79">
        <f t="shared" si="229"/>
        <v>0</v>
      </c>
      <c r="X561" s="79">
        <f t="shared" si="229"/>
        <v>1969046767</v>
      </c>
      <c r="Y561" s="79">
        <f>+Y560+Y554+Y530+Y516+Y448</f>
        <v>45458110034</v>
      </c>
    </row>
    <row r="562" spans="1:26" ht="15">
      <c r="A562" s="603"/>
      <c r="B562" s="603"/>
      <c r="C562" s="604"/>
      <c r="D562" s="603"/>
      <c r="E562" s="603"/>
      <c r="F562" s="604"/>
      <c r="G562" s="603"/>
      <c r="H562" s="604"/>
      <c r="I562" s="605"/>
      <c r="J562" s="603"/>
      <c r="K562" s="604"/>
      <c r="L562" s="606"/>
      <c r="M562" s="606"/>
      <c r="N562" s="606"/>
      <c r="O562" s="606"/>
      <c r="P562" s="606">
        <f t="shared" ref="P562:S562" si="230">P561</f>
        <v>13895526704</v>
      </c>
      <c r="Q562" s="606">
        <f t="shared" si="230"/>
        <v>25910485823</v>
      </c>
      <c r="R562" s="606">
        <f t="shared" si="230"/>
        <v>0</v>
      </c>
      <c r="S562" s="606">
        <f t="shared" si="230"/>
        <v>0</v>
      </c>
      <c r="T562" s="606"/>
      <c r="U562" s="606"/>
      <c r="V562" s="607">
        <f t="shared" ref="V562:Y562" si="231">V561</f>
        <v>3683050740</v>
      </c>
      <c r="W562" s="607">
        <f t="shared" si="231"/>
        <v>0</v>
      </c>
      <c r="X562" s="607">
        <f t="shared" si="231"/>
        <v>1969046767</v>
      </c>
      <c r="Y562" s="607">
        <f t="shared" si="231"/>
        <v>45458110034</v>
      </c>
      <c r="Z562" s="602"/>
    </row>
    <row r="563" spans="1:26" ht="25.5" customHeight="1">
      <c r="A563" s="182"/>
      <c r="B563" s="183"/>
      <c r="C563" s="184"/>
      <c r="D563" s="183"/>
      <c r="E563" s="183"/>
      <c r="F563" s="184"/>
      <c r="G563" s="183"/>
      <c r="H563" s="184"/>
      <c r="I563" s="186"/>
      <c r="J563" s="183"/>
      <c r="K563" s="184"/>
      <c r="L563" s="188"/>
      <c r="M563" s="188"/>
      <c r="N563" s="188"/>
      <c r="O563" s="188"/>
      <c r="P563" s="188"/>
      <c r="Q563" s="188"/>
      <c r="R563" s="188"/>
      <c r="S563" s="188"/>
      <c r="T563" s="188"/>
      <c r="U563" s="188"/>
      <c r="V563" s="306"/>
      <c r="W563" s="306"/>
      <c r="X563" s="306"/>
      <c r="Y563" s="608"/>
    </row>
    <row r="564" spans="1:26" s="29" customFormat="1" ht="25.5" customHeight="1">
      <c r="A564" s="609" t="s">
        <v>696</v>
      </c>
      <c r="B564" s="610"/>
      <c r="C564" s="611"/>
      <c r="D564" s="610"/>
      <c r="E564" s="610"/>
      <c r="F564" s="611"/>
      <c r="G564" s="610"/>
      <c r="H564" s="610"/>
      <c r="I564" s="612"/>
      <c r="J564" s="610"/>
      <c r="K564" s="611"/>
      <c r="L564" s="613"/>
      <c r="M564" s="613"/>
      <c r="N564" s="613"/>
      <c r="O564" s="614"/>
      <c r="P564" s="614"/>
      <c r="Q564" s="614"/>
      <c r="R564" s="614"/>
      <c r="S564" s="614"/>
      <c r="T564" s="614"/>
      <c r="U564" s="614"/>
      <c r="V564" s="614"/>
      <c r="W564" s="614"/>
      <c r="X564" s="614"/>
      <c r="Y564" s="614"/>
    </row>
    <row r="565" spans="1:26" s="29" customFormat="1" ht="20.25" customHeight="1">
      <c r="A565" s="11">
        <v>5</v>
      </c>
      <c r="B565" s="30" t="s">
        <v>76</v>
      </c>
      <c r="C565" s="31"/>
      <c r="D565" s="30"/>
      <c r="E565" s="30"/>
      <c r="F565" s="31"/>
      <c r="G565" s="30"/>
      <c r="H565" s="30"/>
      <c r="I565" s="32"/>
      <c r="J565" s="30"/>
      <c r="K565" s="30"/>
      <c r="L565" s="30"/>
      <c r="M565" s="30"/>
      <c r="N565" s="30"/>
      <c r="O565" s="33"/>
      <c r="P565" s="33"/>
      <c r="Q565" s="33"/>
      <c r="R565" s="33"/>
      <c r="S565" s="33"/>
      <c r="T565" s="33"/>
      <c r="U565" s="33"/>
      <c r="V565" s="33"/>
      <c r="W565" s="33"/>
      <c r="X565" s="33"/>
      <c r="Y565" s="33"/>
    </row>
    <row r="566" spans="1:26" s="29" customFormat="1" ht="21.75" customHeight="1">
      <c r="A566" s="34"/>
      <c r="B566" s="35">
        <v>28</v>
      </c>
      <c r="C566" s="36" t="s">
        <v>77</v>
      </c>
      <c r="D566" s="37"/>
      <c r="E566" s="37"/>
      <c r="F566" s="38"/>
      <c r="G566" s="37"/>
      <c r="H566" s="37"/>
      <c r="I566" s="39"/>
      <c r="J566" s="37"/>
      <c r="K566" s="37"/>
      <c r="L566" s="37"/>
      <c r="M566" s="37"/>
      <c r="N566" s="37"/>
      <c r="O566" s="40"/>
      <c r="P566" s="40"/>
      <c r="Q566" s="40"/>
      <c r="R566" s="40"/>
      <c r="S566" s="40"/>
      <c r="T566" s="40"/>
      <c r="U566" s="40"/>
      <c r="V566" s="40"/>
      <c r="W566" s="40"/>
      <c r="X566" s="40"/>
      <c r="Y566" s="40"/>
    </row>
    <row r="567" spans="1:26" s="29" customFormat="1" ht="22.5" customHeight="1">
      <c r="A567" s="41"/>
      <c r="B567" s="42"/>
      <c r="C567" s="43"/>
      <c r="D567" s="44"/>
      <c r="E567" s="351">
        <v>89</v>
      </c>
      <c r="F567" s="108" t="s">
        <v>78</v>
      </c>
      <c r="G567" s="108"/>
      <c r="H567" s="108"/>
      <c r="I567" s="108"/>
      <c r="J567" s="108"/>
      <c r="K567" s="108"/>
      <c r="L567" s="111"/>
      <c r="M567" s="111"/>
      <c r="N567" s="111"/>
      <c r="O567" s="111"/>
      <c r="P567" s="111"/>
      <c r="Q567" s="111"/>
      <c r="R567" s="111"/>
      <c r="S567" s="111"/>
      <c r="T567" s="111"/>
      <c r="U567" s="111"/>
      <c r="V567" s="111"/>
      <c r="W567" s="111"/>
      <c r="X567" s="111"/>
      <c r="Y567" s="113"/>
    </row>
    <row r="568" spans="1:26" ht="72" customHeight="1">
      <c r="A568" s="420"/>
      <c r="B568" s="226"/>
      <c r="C568" s="256" t="s">
        <v>697</v>
      </c>
      <c r="D568" s="232" t="s">
        <v>698</v>
      </c>
      <c r="E568" s="246"/>
      <c r="F568" s="228">
        <v>282</v>
      </c>
      <c r="G568" s="232" t="s">
        <v>699</v>
      </c>
      <c r="H568" s="312" t="s">
        <v>81</v>
      </c>
      <c r="I568" s="615" t="s">
        <v>700</v>
      </c>
      <c r="J568" s="232" t="s">
        <v>701</v>
      </c>
      <c r="K568" s="234" t="s">
        <v>109</v>
      </c>
      <c r="L568" s="235"/>
      <c r="M568" s="235"/>
      <c r="N568" s="238"/>
      <c r="O568" s="616"/>
      <c r="P568" s="616"/>
      <c r="Q568" s="616"/>
      <c r="R568" s="616"/>
      <c r="S568" s="616"/>
      <c r="T568" s="616"/>
      <c r="U568" s="616"/>
      <c r="V568" s="616">
        <f>60000000+20000000</f>
        <v>80000000</v>
      </c>
      <c r="W568" s="616"/>
      <c r="X568" s="616"/>
      <c r="Y568" s="61">
        <f t="shared" ref="Y568:Y570" si="232">+L568+M568+N568+O568+P568+Q568+R568+S568+T568+U568+V568+W568+X568</f>
        <v>80000000</v>
      </c>
    </row>
    <row r="569" spans="1:26" ht="64.5" customHeight="1">
      <c r="A569" s="420"/>
      <c r="B569" s="226"/>
      <c r="C569" s="256">
        <v>38</v>
      </c>
      <c r="D569" s="232" t="s">
        <v>79</v>
      </c>
      <c r="E569" s="230"/>
      <c r="F569" s="234">
        <v>284</v>
      </c>
      <c r="G569" s="232" t="s">
        <v>702</v>
      </c>
      <c r="H569" s="312" t="s">
        <v>81</v>
      </c>
      <c r="I569" s="257" t="s">
        <v>703</v>
      </c>
      <c r="J569" s="232" t="s">
        <v>704</v>
      </c>
      <c r="K569" s="234" t="s">
        <v>30</v>
      </c>
      <c r="L569" s="235"/>
      <c r="M569" s="235"/>
      <c r="N569" s="238"/>
      <c r="O569" s="616"/>
      <c r="P569" s="616"/>
      <c r="Q569" s="616"/>
      <c r="R569" s="616"/>
      <c r="S569" s="616"/>
      <c r="T569" s="616"/>
      <c r="U569" s="616"/>
      <c r="V569" s="616">
        <f>171885000-101885000+200000000-170000000</f>
        <v>100000000</v>
      </c>
      <c r="W569" s="616"/>
      <c r="X569" s="616"/>
      <c r="Y569" s="61">
        <f t="shared" si="232"/>
        <v>100000000</v>
      </c>
      <c r="Z569" s="307" t="s">
        <v>705</v>
      </c>
    </row>
    <row r="570" spans="1:26" ht="70.5" customHeight="1">
      <c r="A570" s="420"/>
      <c r="B570" s="226"/>
      <c r="C570" s="256">
        <v>38</v>
      </c>
      <c r="D570" s="232" t="s">
        <v>79</v>
      </c>
      <c r="E570" s="230"/>
      <c r="F570" s="234">
        <v>285</v>
      </c>
      <c r="G570" s="232" t="s">
        <v>706</v>
      </c>
      <c r="H570" s="312" t="s">
        <v>81</v>
      </c>
      <c r="I570" s="257" t="s">
        <v>707</v>
      </c>
      <c r="J570" s="232" t="s">
        <v>708</v>
      </c>
      <c r="K570" s="234" t="s">
        <v>30</v>
      </c>
      <c r="L570" s="235"/>
      <c r="M570" s="235"/>
      <c r="N570" s="238"/>
      <c r="O570" s="616"/>
      <c r="P570" s="616"/>
      <c r="Q570" s="616"/>
      <c r="R570" s="616"/>
      <c r="S570" s="616"/>
      <c r="T570" s="616"/>
      <c r="U570" s="616"/>
      <c r="V570" s="616">
        <f>60000000+81885000+170000000</f>
        <v>311885000</v>
      </c>
      <c r="W570" s="616"/>
      <c r="X570" s="616"/>
      <c r="Y570" s="61">
        <f t="shared" si="232"/>
        <v>311885000</v>
      </c>
      <c r="Z570" s="307" t="s">
        <v>709</v>
      </c>
    </row>
    <row r="571" spans="1:26" ht="15">
      <c r="A571" s="41"/>
      <c r="B571" s="330"/>
      <c r="C571" s="51"/>
      <c r="D571" s="52"/>
      <c r="E571" s="64"/>
      <c r="F571" s="65"/>
      <c r="G571" s="64"/>
      <c r="H571" s="65"/>
      <c r="I571" s="67"/>
      <c r="J571" s="64"/>
      <c r="K571" s="65"/>
      <c r="L571" s="68">
        <f t="shared" ref="L571:Y571" si="233">SUM(L568:L570)</f>
        <v>0</v>
      </c>
      <c r="M571" s="68">
        <f t="shared" si="233"/>
        <v>0</v>
      </c>
      <c r="N571" s="68">
        <f t="shared" si="233"/>
        <v>0</v>
      </c>
      <c r="O571" s="68">
        <f t="shared" si="233"/>
        <v>0</v>
      </c>
      <c r="P571" s="68">
        <f t="shared" si="233"/>
        <v>0</v>
      </c>
      <c r="Q571" s="68">
        <f t="shared" si="233"/>
        <v>0</v>
      </c>
      <c r="R571" s="68">
        <f t="shared" si="233"/>
        <v>0</v>
      </c>
      <c r="S571" s="68">
        <f t="shared" si="233"/>
        <v>0</v>
      </c>
      <c r="T571" s="68">
        <f t="shared" si="233"/>
        <v>0</v>
      </c>
      <c r="U571" s="68">
        <f t="shared" si="233"/>
        <v>0</v>
      </c>
      <c r="V571" s="68">
        <f t="shared" si="233"/>
        <v>491885000</v>
      </c>
      <c r="W571" s="68">
        <f t="shared" si="233"/>
        <v>0</v>
      </c>
      <c r="X571" s="68">
        <f t="shared" si="233"/>
        <v>0</v>
      </c>
      <c r="Y571" s="68">
        <f t="shared" si="233"/>
        <v>491885000</v>
      </c>
    </row>
    <row r="572" spans="1:26" ht="15">
      <c r="A572" s="63"/>
      <c r="B572" s="473"/>
      <c r="C572" s="71"/>
      <c r="D572" s="70"/>
      <c r="E572" s="70"/>
      <c r="F572" s="71"/>
      <c r="G572" s="70"/>
      <c r="H572" s="71"/>
      <c r="I572" s="73"/>
      <c r="J572" s="70"/>
      <c r="K572" s="71"/>
      <c r="L572" s="74">
        <f t="shared" ref="L572:Y574" si="234">L571</f>
        <v>0</v>
      </c>
      <c r="M572" s="74">
        <f t="shared" si="234"/>
        <v>0</v>
      </c>
      <c r="N572" s="74">
        <f t="shared" si="234"/>
        <v>0</v>
      </c>
      <c r="O572" s="74">
        <f t="shared" si="234"/>
        <v>0</v>
      </c>
      <c r="P572" s="74">
        <f t="shared" si="234"/>
        <v>0</v>
      </c>
      <c r="Q572" s="74">
        <f t="shared" si="234"/>
        <v>0</v>
      </c>
      <c r="R572" s="74">
        <f t="shared" si="234"/>
        <v>0</v>
      </c>
      <c r="S572" s="74">
        <f t="shared" si="234"/>
        <v>0</v>
      </c>
      <c r="T572" s="74">
        <f t="shared" si="234"/>
        <v>0</v>
      </c>
      <c r="U572" s="74">
        <f t="shared" si="234"/>
        <v>0</v>
      </c>
      <c r="V572" s="74">
        <f t="shared" si="234"/>
        <v>491885000</v>
      </c>
      <c r="W572" s="74">
        <f t="shared" si="234"/>
        <v>0</v>
      </c>
      <c r="X572" s="74">
        <f t="shared" si="234"/>
        <v>0</v>
      </c>
      <c r="Y572" s="74">
        <f t="shared" si="234"/>
        <v>491885000</v>
      </c>
    </row>
    <row r="573" spans="1:26" ht="15">
      <c r="A573" s="75"/>
      <c r="B573" s="75"/>
      <c r="C573" s="76"/>
      <c r="D573" s="75"/>
      <c r="E573" s="75"/>
      <c r="F573" s="76"/>
      <c r="G573" s="75"/>
      <c r="H573" s="76"/>
      <c r="I573" s="78"/>
      <c r="J573" s="75"/>
      <c r="K573" s="76"/>
      <c r="L573" s="79">
        <f t="shared" si="234"/>
        <v>0</v>
      </c>
      <c r="M573" s="79">
        <f t="shared" si="234"/>
        <v>0</v>
      </c>
      <c r="N573" s="79">
        <f t="shared" si="234"/>
        <v>0</v>
      </c>
      <c r="O573" s="79">
        <f t="shared" si="234"/>
        <v>0</v>
      </c>
      <c r="P573" s="79">
        <f t="shared" si="234"/>
        <v>0</v>
      </c>
      <c r="Q573" s="79">
        <f t="shared" si="234"/>
        <v>0</v>
      </c>
      <c r="R573" s="79">
        <f t="shared" si="234"/>
        <v>0</v>
      </c>
      <c r="S573" s="79">
        <f t="shared" si="234"/>
        <v>0</v>
      </c>
      <c r="T573" s="79">
        <f t="shared" si="234"/>
        <v>0</v>
      </c>
      <c r="U573" s="79">
        <f t="shared" si="234"/>
        <v>0</v>
      </c>
      <c r="V573" s="79">
        <f t="shared" si="234"/>
        <v>491885000</v>
      </c>
      <c r="W573" s="79">
        <f t="shared" si="234"/>
        <v>0</v>
      </c>
      <c r="X573" s="79">
        <f t="shared" si="234"/>
        <v>0</v>
      </c>
      <c r="Y573" s="79">
        <f t="shared" si="234"/>
        <v>491885000</v>
      </c>
    </row>
    <row r="574" spans="1:26" ht="33" customHeight="1">
      <c r="A574" s="80"/>
      <c r="B574" s="80"/>
      <c r="C574" s="81"/>
      <c r="D574" s="80"/>
      <c r="E574" s="80"/>
      <c r="F574" s="81"/>
      <c r="G574" s="80"/>
      <c r="H574" s="81"/>
      <c r="I574" s="83"/>
      <c r="J574" s="80"/>
      <c r="K574" s="81"/>
      <c r="L574" s="84">
        <f t="shared" si="234"/>
        <v>0</v>
      </c>
      <c r="M574" s="84">
        <f t="shared" si="234"/>
        <v>0</v>
      </c>
      <c r="N574" s="84">
        <f t="shared" si="234"/>
        <v>0</v>
      </c>
      <c r="O574" s="84">
        <f t="shared" si="234"/>
        <v>0</v>
      </c>
      <c r="P574" s="84">
        <f t="shared" si="234"/>
        <v>0</v>
      </c>
      <c r="Q574" s="84">
        <f t="shared" si="234"/>
        <v>0</v>
      </c>
      <c r="R574" s="84">
        <f t="shared" si="234"/>
        <v>0</v>
      </c>
      <c r="S574" s="84">
        <f t="shared" si="234"/>
        <v>0</v>
      </c>
      <c r="T574" s="84">
        <f t="shared" si="234"/>
        <v>0</v>
      </c>
      <c r="U574" s="84">
        <f t="shared" si="234"/>
        <v>0</v>
      </c>
      <c r="V574" s="84">
        <f t="shared" si="234"/>
        <v>491885000</v>
      </c>
      <c r="W574" s="84">
        <f t="shared" si="234"/>
        <v>0</v>
      </c>
      <c r="X574" s="84">
        <f t="shared" si="234"/>
        <v>0</v>
      </c>
      <c r="Y574" s="84">
        <f t="shared" si="234"/>
        <v>491885000</v>
      </c>
    </row>
    <row r="575" spans="1:26" ht="35.25" customHeight="1">
      <c r="A575" s="1128" t="s">
        <v>710</v>
      </c>
      <c r="B575" s="1129"/>
      <c r="C575" s="1129"/>
      <c r="D575" s="617"/>
      <c r="E575" s="617"/>
      <c r="F575" s="617"/>
      <c r="G575" s="617"/>
      <c r="H575" s="617"/>
      <c r="I575" s="617"/>
      <c r="J575" s="618"/>
      <c r="K575" s="619"/>
      <c r="L575" s="620">
        <f t="shared" ref="L575:Y575" si="235">+L574+L562+L438+L376+L301+L285+L227+L195+L163+L97+L67+L54+L16</f>
        <v>10783768365</v>
      </c>
      <c r="M575" s="620">
        <f t="shared" si="235"/>
        <v>1760000000</v>
      </c>
      <c r="N575" s="620">
        <f t="shared" si="235"/>
        <v>1158478847</v>
      </c>
      <c r="O575" s="620">
        <f t="shared" si="235"/>
        <v>2599543380</v>
      </c>
      <c r="P575" s="620">
        <f t="shared" si="235"/>
        <v>13895526704</v>
      </c>
      <c r="Q575" s="620">
        <f t="shared" si="235"/>
        <v>25910485823</v>
      </c>
      <c r="R575" s="620">
        <f t="shared" si="235"/>
        <v>134430000000</v>
      </c>
      <c r="S575" s="620">
        <f t="shared" si="235"/>
        <v>23500000000</v>
      </c>
      <c r="T575" s="620">
        <f t="shared" si="235"/>
        <v>12150000000</v>
      </c>
      <c r="U575" s="620">
        <f t="shared" si="235"/>
        <v>2673200000</v>
      </c>
      <c r="V575" s="620">
        <f t="shared" si="235"/>
        <v>21161567494</v>
      </c>
      <c r="W575" s="620">
        <f t="shared" si="235"/>
        <v>764080000</v>
      </c>
      <c r="X575" s="620">
        <f t="shared" si="235"/>
        <v>2219046767</v>
      </c>
      <c r="Y575" s="620">
        <f t="shared" si="235"/>
        <v>253005697380</v>
      </c>
    </row>
    <row r="576" spans="1:26" ht="24.75" customHeight="1">
      <c r="A576" s="1130"/>
      <c r="B576" s="1131"/>
      <c r="C576" s="1131"/>
      <c r="D576" s="1131"/>
      <c r="E576" s="1131"/>
      <c r="F576" s="1131"/>
      <c r="G576" s="252"/>
      <c r="H576" s="621"/>
      <c r="I576" s="621"/>
      <c r="J576" s="621"/>
      <c r="K576" s="184"/>
      <c r="L576" s="622"/>
      <c r="M576" s="622"/>
      <c r="N576" s="622"/>
      <c r="O576" s="622"/>
      <c r="P576" s="622"/>
      <c r="Q576" s="622"/>
      <c r="R576" s="622"/>
      <c r="S576" s="622" t="s">
        <v>186</v>
      </c>
      <c r="T576" s="622" t="s">
        <v>186</v>
      </c>
      <c r="U576" s="622"/>
      <c r="V576" s="623"/>
      <c r="W576" s="622"/>
      <c r="X576" s="622"/>
      <c r="Y576" s="624"/>
    </row>
    <row r="577" spans="1:25" ht="30.75" customHeight="1">
      <c r="A577" s="625" t="s">
        <v>711</v>
      </c>
      <c r="B577" s="626"/>
      <c r="C577" s="627"/>
      <c r="D577" s="626"/>
      <c r="E577" s="626"/>
      <c r="F577" s="627"/>
      <c r="G577" s="626"/>
      <c r="H577" s="626"/>
      <c r="I577" s="26"/>
      <c r="J577" s="626"/>
      <c r="K577" s="627"/>
      <c r="L577" s="95"/>
      <c r="M577" s="95"/>
      <c r="N577" s="95"/>
      <c r="O577" s="95"/>
      <c r="P577" s="95"/>
      <c r="Q577" s="95"/>
      <c r="R577" s="95"/>
      <c r="S577" s="95"/>
      <c r="T577" s="95"/>
      <c r="U577" s="95"/>
      <c r="V577" s="96"/>
      <c r="W577" s="95"/>
      <c r="X577" s="95"/>
      <c r="Y577" s="525"/>
    </row>
    <row r="578" spans="1:25" ht="21" customHeight="1">
      <c r="A578" s="11">
        <v>3</v>
      </c>
      <c r="B578" s="30" t="s">
        <v>377</v>
      </c>
      <c r="C578" s="31"/>
      <c r="D578" s="30"/>
      <c r="E578" s="30"/>
      <c r="F578" s="31"/>
      <c r="G578" s="30"/>
      <c r="H578" s="30"/>
      <c r="I578" s="32"/>
      <c r="J578" s="30"/>
      <c r="K578" s="30"/>
      <c r="L578" s="98"/>
      <c r="M578" s="98"/>
      <c r="N578" s="98"/>
      <c r="O578" s="98"/>
      <c r="P578" s="98"/>
      <c r="Q578" s="98"/>
      <c r="R578" s="98"/>
      <c r="S578" s="98"/>
      <c r="T578" s="98"/>
      <c r="U578" s="98"/>
      <c r="V578" s="99"/>
      <c r="W578" s="98"/>
      <c r="X578" s="98"/>
      <c r="Y578" s="526"/>
    </row>
    <row r="579" spans="1:25" ht="19.5" customHeight="1">
      <c r="A579" s="101"/>
      <c r="B579" s="198">
        <v>20</v>
      </c>
      <c r="C579" s="36" t="s">
        <v>712</v>
      </c>
      <c r="D579" s="37"/>
      <c r="E579" s="37"/>
      <c r="F579" s="38"/>
      <c r="G579" s="37"/>
      <c r="H579" s="37"/>
      <c r="I579" s="39"/>
      <c r="J579" s="37"/>
      <c r="K579" s="37"/>
      <c r="L579" s="102"/>
      <c r="M579" s="102"/>
      <c r="N579" s="102"/>
      <c r="O579" s="102"/>
      <c r="P579" s="102"/>
      <c r="Q579" s="102"/>
      <c r="R579" s="102"/>
      <c r="S579" s="102"/>
      <c r="T579" s="102"/>
      <c r="U579" s="102"/>
      <c r="V579" s="103"/>
      <c r="W579" s="102"/>
      <c r="X579" s="102"/>
      <c r="Y579" s="527"/>
    </row>
    <row r="580" spans="1:25" ht="22.5" customHeight="1">
      <c r="A580" s="50"/>
      <c r="B580" s="101"/>
      <c r="C580" s="87"/>
      <c r="D580" s="86"/>
      <c r="E580" s="351">
        <v>68</v>
      </c>
      <c r="F580" s="109" t="s">
        <v>713</v>
      </c>
      <c r="G580" s="109"/>
      <c r="H580" s="109"/>
      <c r="I580" s="109"/>
      <c r="J580" s="109"/>
      <c r="K580" s="109"/>
      <c r="L580" s="111"/>
      <c r="M580" s="111"/>
      <c r="N580" s="111"/>
      <c r="O580" s="111"/>
      <c r="P580" s="111"/>
      <c r="Q580" s="111"/>
      <c r="R580" s="111"/>
      <c r="S580" s="111"/>
      <c r="T580" s="111"/>
      <c r="U580" s="111"/>
      <c r="V580" s="112"/>
      <c r="W580" s="111"/>
      <c r="X580" s="111"/>
      <c r="Y580" s="529"/>
    </row>
    <row r="581" spans="1:25" ht="75" customHeight="1">
      <c r="A581" s="50"/>
      <c r="B581" s="50"/>
      <c r="C581" s="54">
        <v>36</v>
      </c>
      <c r="D581" s="550" t="s">
        <v>714</v>
      </c>
      <c r="E581" s="136"/>
      <c r="F581" s="51">
        <v>202</v>
      </c>
      <c r="G581" s="52" t="s">
        <v>715</v>
      </c>
      <c r="H581" s="341" t="s">
        <v>716</v>
      </c>
      <c r="I581" s="1132" t="s">
        <v>717</v>
      </c>
      <c r="J581" s="1134" t="s">
        <v>718</v>
      </c>
      <c r="K581" s="341" t="s">
        <v>30</v>
      </c>
      <c r="L581" s="57"/>
      <c r="M581" s="57"/>
      <c r="N581" s="57"/>
      <c r="O581" s="57"/>
      <c r="P581" s="148"/>
      <c r="Q581" s="148"/>
      <c r="R581" s="57"/>
      <c r="S581" s="57"/>
      <c r="T581" s="57"/>
      <c r="U581" s="57"/>
      <c r="V581" s="628">
        <v>381345071</v>
      </c>
      <c r="W581" s="628">
        <f>169249781+78571457+17795229</f>
        <v>265616467</v>
      </c>
      <c r="X581" s="60"/>
      <c r="Y581" s="61">
        <f t="shared" ref="Y581:Y582" si="236">+L581+M581+N581+O581+P581+Q581+R581+S581+T581+U581+V581+W581+X581</f>
        <v>646961538</v>
      </c>
    </row>
    <row r="582" spans="1:25" ht="76.5">
      <c r="A582" s="50"/>
      <c r="B582" s="50"/>
      <c r="C582" s="54">
        <v>36</v>
      </c>
      <c r="D582" s="550" t="s">
        <v>714</v>
      </c>
      <c r="E582" s="53"/>
      <c r="F582" s="51">
        <v>203</v>
      </c>
      <c r="G582" s="52" t="s">
        <v>719</v>
      </c>
      <c r="H582" s="341" t="s">
        <v>716</v>
      </c>
      <c r="I582" s="1133"/>
      <c r="J582" s="1135"/>
      <c r="K582" s="341" t="s">
        <v>30</v>
      </c>
      <c r="L582" s="57"/>
      <c r="M582" s="57"/>
      <c r="N582" s="57"/>
      <c r="O582" s="57"/>
      <c r="P582" s="57"/>
      <c r="Q582" s="57"/>
      <c r="R582" s="57"/>
      <c r="S582" s="57"/>
      <c r="T582" s="57"/>
      <c r="U582" s="57"/>
      <c r="V582" s="61">
        <v>190771080</v>
      </c>
      <c r="W582" s="60"/>
      <c r="X582" s="60"/>
      <c r="Y582" s="61">
        <f t="shared" si="236"/>
        <v>190771080</v>
      </c>
    </row>
    <row r="583" spans="1:25" ht="15">
      <c r="A583" s="50"/>
      <c r="B583" s="50"/>
      <c r="C583" s="51"/>
      <c r="D583" s="52"/>
      <c r="E583" s="64"/>
      <c r="F583" s="65"/>
      <c r="G583" s="64"/>
      <c r="H583" s="66"/>
      <c r="I583" s="406"/>
      <c r="J583" s="319"/>
      <c r="K583" s="453">
        <f t="shared" ref="K583" si="237">SUM(K581:K582)</f>
        <v>0</v>
      </c>
      <c r="L583" s="629"/>
      <c r="M583" s="629"/>
      <c r="N583" s="629"/>
      <c r="O583" s="629"/>
      <c r="P583" s="629"/>
      <c r="Q583" s="629"/>
      <c r="R583" s="629"/>
      <c r="S583" s="629"/>
      <c r="T583" s="629"/>
      <c r="U583" s="629"/>
      <c r="V583" s="221">
        <f t="shared" ref="V583:W583" si="238">SUM(V581:V582)</f>
        <v>572116151</v>
      </c>
      <c r="W583" s="221">
        <f t="shared" si="238"/>
        <v>265616467</v>
      </c>
      <c r="X583" s="221"/>
      <c r="Y583" s="221">
        <f t="shared" ref="Y583" si="239">SUM(Y581:Y582)</f>
        <v>837732618</v>
      </c>
    </row>
    <row r="584" spans="1:25" ht="15">
      <c r="A584" s="50"/>
      <c r="B584" s="50"/>
      <c r="C584" s="87"/>
      <c r="D584" s="86"/>
      <c r="E584" s="86"/>
      <c r="F584" s="87"/>
      <c r="G584" s="86"/>
      <c r="H584" s="147"/>
      <c r="I584" s="271"/>
      <c r="J584" s="146"/>
      <c r="K584" s="87"/>
      <c r="L584" s="90"/>
      <c r="M584" s="90"/>
      <c r="N584" s="90"/>
      <c r="O584" s="90"/>
      <c r="P584" s="90"/>
      <c r="Q584" s="90"/>
      <c r="R584" s="91"/>
      <c r="S584" s="91"/>
      <c r="T584" s="90"/>
      <c r="U584" s="90"/>
      <c r="V584" s="122"/>
      <c r="W584" s="90"/>
      <c r="X584" s="91"/>
      <c r="Y584" s="94"/>
    </row>
    <row r="585" spans="1:25" ht="15">
      <c r="A585" s="50"/>
      <c r="B585" s="50"/>
      <c r="C585" s="87"/>
      <c r="D585" s="52"/>
      <c r="E585" s="351">
        <v>69</v>
      </c>
      <c r="F585" s="109" t="s">
        <v>720</v>
      </c>
      <c r="G585" s="109"/>
      <c r="H585" s="109"/>
      <c r="I585" s="109"/>
      <c r="J585" s="109"/>
      <c r="K585" s="109"/>
      <c r="L585" s="111"/>
      <c r="M585" s="111"/>
      <c r="N585" s="111"/>
      <c r="O585" s="111"/>
      <c r="P585" s="111"/>
      <c r="Q585" s="111"/>
      <c r="R585" s="111"/>
      <c r="S585" s="111"/>
      <c r="T585" s="111"/>
      <c r="U585" s="111"/>
      <c r="V585" s="112"/>
      <c r="W585" s="111"/>
      <c r="X585" s="111"/>
      <c r="Y585" s="529"/>
    </row>
    <row r="586" spans="1:25" ht="77.25" customHeight="1">
      <c r="A586" s="50"/>
      <c r="B586" s="50"/>
      <c r="C586" s="51">
        <v>36</v>
      </c>
      <c r="D586" s="360" t="s">
        <v>714</v>
      </c>
      <c r="E586" s="52"/>
      <c r="F586" s="54">
        <v>204</v>
      </c>
      <c r="G586" s="52" t="s">
        <v>721</v>
      </c>
      <c r="H586" s="341" t="s">
        <v>716</v>
      </c>
      <c r="I586" s="630" t="s">
        <v>717</v>
      </c>
      <c r="J586" s="55" t="s">
        <v>718</v>
      </c>
      <c r="K586" s="341" t="s">
        <v>30</v>
      </c>
      <c r="L586" s="57"/>
      <c r="M586" s="57"/>
      <c r="N586" s="57"/>
      <c r="O586" s="57"/>
      <c r="P586" s="57"/>
      <c r="Q586" s="57"/>
      <c r="R586" s="57"/>
      <c r="S586" s="57"/>
      <c r="T586" s="57"/>
      <c r="U586" s="57"/>
      <c r="V586" s="631">
        <v>110200000</v>
      </c>
      <c r="W586" s="628">
        <v>60000000</v>
      </c>
      <c r="X586" s="60"/>
      <c r="Y586" s="61">
        <f t="shared" ref="Y586" si="240">+L586+M586+N586+O586+P586+Q586+R586+S586+T586+U586+V586+W586+X586</f>
        <v>170200000</v>
      </c>
    </row>
    <row r="587" spans="1:25" ht="15">
      <c r="A587" s="50"/>
      <c r="B587" s="50"/>
      <c r="C587" s="51"/>
      <c r="D587" s="52"/>
      <c r="E587" s="64"/>
      <c r="F587" s="65"/>
      <c r="G587" s="64"/>
      <c r="H587" s="66"/>
      <c r="I587" s="406"/>
      <c r="J587" s="319"/>
      <c r="K587" s="66"/>
      <c r="L587" s="68"/>
      <c r="M587" s="68"/>
      <c r="N587" s="68"/>
      <c r="O587" s="68"/>
      <c r="P587" s="68"/>
      <c r="Q587" s="68"/>
      <c r="R587" s="68"/>
      <c r="S587" s="68"/>
      <c r="T587" s="68"/>
      <c r="U587" s="68"/>
      <c r="V587" s="221">
        <f t="shared" ref="V587:W587" si="241">SUM(V586)</f>
        <v>110200000</v>
      </c>
      <c r="W587" s="221">
        <f t="shared" si="241"/>
        <v>60000000</v>
      </c>
      <c r="X587" s="221"/>
      <c r="Y587" s="221">
        <f t="shared" ref="Y587" si="242">SUM(Y586)</f>
        <v>170200000</v>
      </c>
    </row>
    <row r="588" spans="1:25" ht="15">
      <c r="A588" s="50"/>
      <c r="B588" s="50"/>
      <c r="C588" s="87"/>
      <c r="D588" s="86"/>
      <c r="E588" s="86"/>
      <c r="F588" s="87"/>
      <c r="G588" s="86"/>
      <c r="H588" s="147"/>
      <c r="I588" s="271"/>
      <c r="J588" s="146"/>
      <c r="K588" s="87"/>
      <c r="L588" s="90"/>
      <c r="M588" s="90"/>
      <c r="N588" s="90"/>
      <c r="O588" s="90"/>
      <c r="P588" s="90"/>
      <c r="Q588" s="90"/>
      <c r="R588" s="91"/>
      <c r="S588" s="91"/>
      <c r="T588" s="90"/>
      <c r="U588" s="90"/>
      <c r="V588" s="122"/>
      <c r="W588" s="90"/>
      <c r="X588" s="91"/>
      <c r="Y588" s="94"/>
    </row>
    <row r="589" spans="1:25" ht="15">
      <c r="A589" s="50"/>
      <c r="B589" s="50"/>
      <c r="C589" s="87"/>
      <c r="D589" s="52"/>
      <c r="E589" s="351">
        <v>70</v>
      </c>
      <c r="F589" s="108" t="s">
        <v>722</v>
      </c>
      <c r="G589" s="108"/>
      <c r="H589" s="108"/>
      <c r="I589" s="108"/>
      <c r="J589" s="108"/>
      <c r="K589" s="108"/>
      <c r="L589" s="111"/>
      <c r="M589" s="111"/>
      <c r="N589" s="111"/>
      <c r="O589" s="111"/>
      <c r="P589" s="111"/>
      <c r="Q589" s="111"/>
      <c r="R589" s="111"/>
      <c r="S589" s="111"/>
      <c r="T589" s="111"/>
      <c r="U589" s="111"/>
      <c r="V589" s="112"/>
      <c r="W589" s="111"/>
      <c r="X589" s="111"/>
      <c r="Y589" s="529"/>
    </row>
    <row r="590" spans="1:25" ht="54.75" customHeight="1">
      <c r="A590" s="50"/>
      <c r="B590" s="50"/>
      <c r="C590" s="51">
        <v>36</v>
      </c>
      <c r="D590" s="360" t="s">
        <v>714</v>
      </c>
      <c r="E590" s="52"/>
      <c r="F590" s="54">
        <v>205</v>
      </c>
      <c r="G590" s="52" t="s">
        <v>723</v>
      </c>
      <c r="H590" s="341" t="s">
        <v>716</v>
      </c>
      <c r="I590" s="630" t="s">
        <v>724</v>
      </c>
      <c r="J590" s="632" t="s">
        <v>725</v>
      </c>
      <c r="K590" s="341" t="s">
        <v>109</v>
      </c>
      <c r="L590" s="57"/>
      <c r="M590" s="57"/>
      <c r="N590" s="57"/>
      <c r="O590" s="57"/>
      <c r="P590" s="57"/>
      <c r="Q590" s="57"/>
      <c r="R590" s="57"/>
      <c r="S590" s="57"/>
      <c r="T590" s="57"/>
      <c r="U590" s="57"/>
      <c r="V590" s="633">
        <v>80000000</v>
      </c>
      <c r="W590" s="633">
        <v>120000000</v>
      </c>
      <c r="X590" s="634"/>
      <c r="Y590" s="61">
        <f t="shared" ref="Y590" si="243">+L590+M590+N590+O590+P590+Q590+R590+S590+T590+U590+V590+W590+X590</f>
        <v>200000000</v>
      </c>
    </row>
    <row r="591" spans="1:25" ht="15">
      <c r="A591" s="50"/>
      <c r="B591" s="50"/>
      <c r="C591" s="51"/>
      <c r="D591" s="52"/>
      <c r="E591" s="64"/>
      <c r="F591" s="65"/>
      <c r="G591" s="64"/>
      <c r="H591" s="66"/>
      <c r="I591" s="406"/>
      <c r="J591" s="319"/>
      <c r="K591" s="66"/>
      <c r="L591" s="68"/>
      <c r="M591" s="68"/>
      <c r="N591" s="68"/>
      <c r="O591" s="68"/>
      <c r="P591" s="68"/>
      <c r="Q591" s="68"/>
      <c r="R591" s="68"/>
      <c r="S591" s="68"/>
      <c r="T591" s="68"/>
      <c r="U591" s="68"/>
      <c r="V591" s="221">
        <f t="shared" ref="V591:W591" si="244">SUM(V590)</f>
        <v>80000000</v>
      </c>
      <c r="W591" s="221">
        <f t="shared" si="244"/>
        <v>120000000</v>
      </c>
      <c r="X591" s="221"/>
      <c r="Y591" s="635">
        <f t="shared" ref="Y591" si="245">SUM(Y590)</f>
        <v>200000000</v>
      </c>
    </row>
    <row r="592" spans="1:25" ht="15">
      <c r="A592" s="50"/>
      <c r="B592" s="50"/>
      <c r="C592" s="87"/>
      <c r="D592" s="86"/>
      <c r="E592" s="86"/>
      <c r="F592" s="87"/>
      <c r="G592" s="86"/>
      <c r="H592" s="147"/>
      <c r="I592" s="271"/>
      <c r="J592" s="146"/>
      <c r="K592" s="87"/>
      <c r="L592" s="90"/>
      <c r="M592" s="90"/>
      <c r="N592" s="90"/>
      <c r="O592" s="90"/>
      <c r="P592" s="90"/>
      <c r="Q592" s="90"/>
      <c r="R592" s="91"/>
      <c r="S592" s="91"/>
      <c r="T592" s="90"/>
      <c r="U592" s="90"/>
      <c r="V592" s="122"/>
      <c r="W592" s="90"/>
      <c r="X592" s="90"/>
      <c r="Y592" s="94"/>
    </row>
    <row r="593" spans="1:25" ht="15">
      <c r="A593" s="50"/>
      <c r="B593" s="50"/>
      <c r="C593" s="87"/>
      <c r="D593" s="52"/>
      <c r="E593" s="351">
        <v>71</v>
      </c>
      <c r="F593" s="109" t="s">
        <v>726</v>
      </c>
      <c r="G593" s="109"/>
      <c r="H593" s="109"/>
      <c r="I593" s="109"/>
      <c r="J593" s="109"/>
      <c r="K593" s="109"/>
      <c r="L593" s="111"/>
      <c r="M593" s="111"/>
      <c r="N593" s="111"/>
      <c r="O593" s="111"/>
      <c r="P593" s="111"/>
      <c r="Q593" s="111"/>
      <c r="R593" s="111"/>
      <c r="S593" s="111"/>
      <c r="T593" s="111"/>
      <c r="U593" s="111"/>
      <c r="V593" s="112"/>
      <c r="W593" s="111"/>
      <c r="X593" s="111"/>
      <c r="Y593" s="529"/>
    </row>
    <row r="594" spans="1:25" ht="85.5">
      <c r="A594" s="50"/>
      <c r="B594" s="50"/>
      <c r="C594" s="54">
        <v>36</v>
      </c>
      <c r="D594" s="550" t="s">
        <v>714</v>
      </c>
      <c r="E594" s="1095"/>
      <c r="F594" s="54">
        <v>206</v>
      </c>
      <c r="G594" s="52" t="s">
        <v>727</v>
      </c>
      <c r="H594" s="341" t="s">
        <v>716</v>
      </c>
      <c r="I594" s="1132" t="s">
        <v>728</v>
      </c>
      <c r="J594" s="1137" t="s">
        <v>729</v>
      </c>
      <c r="K594" s="341" t="s">
        <v>30</v>
      </c>
      <c r="L594" s="57"/>
      <c r="M594" s="57"/>
      <c r="N594" s="57"/>
      <c r="O594" s="57"/>
      <c r="P594" s="57"/>
      <c r="Q594" s="636"/>
      <c r="R594" s="57"/>
      <c r="S594" s="57"/>
      <c r="T594" s="57"/>
      <c r="U594" s="57"/>
      <c r="V594" s="633"/>
      <c r="W594" s="633">
        <v>55000000</v>
      </c>
      <c r="X594" s="60"/>
      <c r="Y594" s="61">
        <f t="shared" ref="Y594:Y596" si="246">+L594+M594+N594+O594+P594+Q594+R594+S594+T594+U594+V594+W594+X594</f>
        <v>55000000</v>
      </c>
    </row>
    <row r="595" spans="1:25" ht="45.75" customHeight="1">
      <c r="A595" s="50"/>
      <c r="B595" s="50"/>
      <c r="C595" s="54">
        <v>36</v>
      </c>
      <c r="D595" s="550" t="s">
        <v>714</v>
      </c>
      <c r="E595" s="1060"/>
      <c r="F595" s="54">
        <v>207</v>
      </c>
      <c r="G595" s="52" t="s">
        <v>730</v>
      </c>
      <c r="H595" s="341" t="s">
        <v>716</v>
      </c>
      <c r="I595" s="1136"/>
      <c r="J595" s="1138"/>
      <c r="K595" s="341" t="s">
        <v>109</v>
      </c>
      <c r="L595" s="57"/>
      <c r="M595" s="57"/>
      <c r="N595" s="57"/>
      <c r="O595" s="57"/>
      <c r="P595" s="57"/>
      <c r="Q595" s="57"/>
      <c r="R595" s="57"/>
      <c r="S595" s="57"/>
      <c r="T595" s="57"/>
      <c r="U595" s="57"/>
      <c r="V595" s="633"/>
      <c r="W595" s="633">
        <f>60000000+6552853</f>
        <v>66552853</v>
      </c>
      <c r="X595" s="60"/>
      <c r="Y595" s="61">
        <f t="shared" si="246"/>
        <v>66552853</v>
      </c>
    </row>
    <row r="596" spans="1:25" ht="48.75" customHeight="1">
      <c r="A596" s="50"/>
      <c r="B596" s="50"/>
      <c r="C596" s="54">
        <v>36</v>
      </c>
      <c r="D596" s="550" t="s">
        <v>714</v>
      </c>
      <c r="E596" s="1096"/>
      <c r="F596" s="54">
        <v>208</v>
      </c>
      <c r="G596" s="52" t="s">
        <v>731</v>
      </c>
      <c r="H596" s="341" t="s">
        <v>716</v>
      </c>
      <c r="I596" s="1133"/>
      <c r="J596" s="1139"/>
      <c r="K596" s="341" t="s">
        <v>30</v>
      </c>
      <c r="L596" s="57"/>
      <c r="M596" s="57"/>
      <c r="N596" s="57"/>
      <c r="O596" s="57"/>
      <c r="P596" s="57"/>
      <c r="Q596" s="57"/>
      <c r="R596" s="57"/>
      <c r="S596" s="57"/>
      <c r="T596" s="57"/>
      <c r="U596" s="57"/>
      <c r="V596" s="633">
        <v>30000000</v>
      </c>
      <c r="W596" s="633">
        <v>25000000</v>
      </c>
      <c r="X596" s="60"/>
      <c r="Y596" s="61">
        <f t="shared" si="246"/>
        <v>55000000</v>
      </c>
    </row>
    <row r="597" spans="1:25" ht="15">
      <c r="A597" s="50"/>
      <c r="B597" s="63"/>
      <c r="C597" s="160"/>
      <c r="D597" s="52"/>
      <c r="E597" s="64"/>
      <c r="F597" s="65"/>
      <c r="G597" s="64"/>
      <c r="H597" s="66"/>
      <c r="I597" s="406"/>
      <c r="J597" s="319"/>
      <c r="K597" s="66"/>
      <c r="L597" s="68"/>
      <c r="M597" s="68"/>
      <c r="N597" s="68"/>
      <c r="O597" s="68"/>
      <c r="P597" s="68"/>
      <c r="Q597" s="68"/>
      <c r="R597" s="68"/>
      <c r="S597" s="68"/>
      <c r="T597" s="68"/>
      <c r="U597" s="68"/>
      <c r="V597" s="221">
        <f t="shared" ref="V597" si="247">SUM(V594:V596)</f>
        <v>30000000</v>
      </c>
      <c r="W597" s="221">
        <f t="shared" ref="W597" si="248">SUM(W594:W596)</f>
        <v>146552853</v>
      </c>
      <c r="X597" s="221"/>
      <c r="Y597" s="68">
        <f t="shared" ref="Y597" si="249">SUM(Y594:Y596)</f>
        <v>176552853</v>
      </c>
    </row>
    <row r="598" spans="1:25" ht="15">
      <c r="A598" s="50"/>
      <c r="B598" s="415"/>
      <c r="C598" s="145"/>
      <c r="D598" s="70"/>
      <c r="E598" s="70"/>
      <c r="F598" s="71"/>
      <c r="G598" s="70"/>
      <c r="H598" s="72"/>
      <c r="I598" s="637"/>
      <c r="J598" s="638"/>
      <c r="K598" s="72"/>
      <c r="L598" s="74"/>
      <c r="M598" s="74"/>
      <c r="N598" s="74"/>
      <c r="O598" s="74"/>
      <c r="P598" s="74"/>
      <c r="Q598" s="74"/>
      <c r="R598" s="74"/>
      <c r="S598" s="74"/>
      <c r="T598" s="74"/>
      <c r="U598" s="74"/>
      <c r="V598" s="222">
        <f t="shared" ref="V598:W598" si="250">V597+V591+V587+V583</f>
        <v>792316151</v>
      </c>
      <c r="W598" s="222">
        <f t="shared" si="250"/>
        <v>592169320</v>
      </c>
      <c r="X598" s="222"/>
      <c r="Y598" s="74">
        <f t="shared" ref="Y598" si="251">Y597+Y591+Y587+Y583</f>
        <v>1384485471</v>
      </c>
    </row>
    <row r="599" spans="1:25" ht="15">
      <c r="A599" s="50"/>
      <c r="B599" s="86"/>
      <c r="C599" s="87"/>
      <c r="D599" s="86"/>
      <c r="E599" s="86"/>
      <c r="F599" s="87"/>
      <c r="G599" s="86"/>
      <c r="H599" s="147"/>
      <c r="I599" s="271"/>
      <c r="J599" s="146"/>
      <c r="K599" s="87"/>
      <c r="L599" s="90"/>
      <c r="M599" s="90"/>
      <c r="N599" s="90"/>
      <c r="O599" s="90"/>
      <c r="P599" s="90"/>
      <c r="Q599" s="90"/>
      <c r="R599" s="91"/>
      <c r="S599" s="91"/>
      <c r="T599" s="90"/>
      <c r="U599" s="90"/>
      <c r="V599" s="122"/>
      <c r="W599" s="90"/>
      <c r="X599" s="90"/>
      <c r="Y599" s="94"/>
    </row>
    <row r="600" spans="1:25">
      <c r="A600" s="50"/>
      <c r="B600" s="198">
        <v>21</v>
      </c>
      <c r="C600" s="36" t="s">
        <v>732</v>
      </c>
      <c r="D600" s="37"/>
      <c r="E600" s="37"/>
      <c r="F600" s="38"/>
      <c r="G600" s="37"/>
      <c r="H600" s="37"/>
      <c r="I600" s="39"/>
      <c r="J600" s="37"/>
      <c r="K600" s="37"/>
      <c r="L600" s="102"/>
      <c r="M600" s="102"/>
      <c r="N600" s="102"/>
      <c r="O600" s="102"/>
      <c r="P600" s="102"/>
      <c r="Q600" s="102"/>
      <c r="R600" s="102"/>
      <c r="S600" s="102"/>
      <c r="T600" s="102"/>
      <c r="U600" s="102"/>
      <c r="V600" s="103"/>
      <c r="W600" s="102"/>
      <c r="X600" s="102"/>
      <c r="Y600" s="527"/>
    </row>
    <row r="601" spans="1:25" ht="15">
      <c r="A601" s="50"/>
      <c r="B601" s="1151"/>
      <c r="C601" s="87"/>
      <c r="D601" s="86"/>
      <c r="E601" s="351">
        <v>72</v>
      </c>
      <c r="F601" s="109" t="s">
        <v>733</v>
      </c>
      <c r="G601" s="109" t="s">
        <v>733</v>
      </c>
      <c r="H601" s="109"/>
      <c r="I601" s="109"/>
      <c r="J601" s="109"/>
      <c r="K601" s="109"/>
      <c r="L601" s="111"/>
      <c r="M601" s="111"/>
      <c r="N601" s="111"/>
      <c r="O601" s="111"/>
      <c r="P601" s="111"/>
      <c r="Q601" s="111"/>
      <c r="R601" s="111"/>
      <c r="S601" s="111"/>
      <c r="T601" s="111"/>
      <c r="U601" s="111"/>
      <c r="V601" s="112"/>
      <c r="W601" s="111"/>
      <c r="X601" s="111"/>
      <c r="Y601" s="529"/>
    </row>
    <row r="602" spans="1:25" ht="76.5">
      <c r="A602" s="50"/>
      <c r="B602" s="1151"/>
      <c r="C602" s="54">
        <v>36</v>
      </c>
      <c r="D602" s="550" t="s">
        <v>714</v>
      </c>
      <c r="E602" s="1095" t="s">
        <v>734</v>
      </c>
      <c r="F602" s="54">
        <v>209</v>
      </c>
      <c r="G602" s="52" t="s">
        <v>735</v>
      </c>
      <c r="H602" s="341" t="s">
        <v>716</v>
      </c>
      <c r="I602" s="1152" t="s">
        <v>736</v>
      </c>
      <c r="J602" s="1153" t="s">
        <v>737</v>
      </c>
      <c r="K602" s="341" t="s">
        <v>30</v>
      </c>
      <c r="L602" s="57"/>
      <c r="M602" s="57"/>
      <c r="N602" s="57"/>
      <c r="O602" s="57"/>
      <c r="P602" s="57"/>
      <c r="Q602" s="57"/>
      <c r="R602" s="57"/>
      <c r="S602" s="57"/>
      <c r="T602" s="57"/>
      <c r="U602" s="57"/>
      <c r="V602" s="168"/>
      <c r="W602" s="636">
        <v>30000000</v>
      </c>
      <c r="X602" s="639"/>
      <c r="Y602" s="61">
        <f t="shared" ref="Y602:Y604" si="252">+L602+M602+N602+O602+P602+Q602+R602+S602+T602+U602+V602+W602+X602</f>
        <v>30000000</v>
      </c>
    </row>
    <row r="603" spans="1:25" ht="76.5">
      <c r="A603" s="41"/>
      <c r="B603" s="1151"/>
      <c r="C603" s="54">
        <v>36</v>
      </c>
      <c r="D603" s="550" t="s">
        <v>714</v>
      </c>
      <c r="E603" s="1060"/>
      <c r="F603" s="54">
        <v>210</v>
      </c>
      <c r="G603" s="52" t="s">
        <v>738</v>
      </c>
      <c r="H603" s="341" t="s">
        <v>716</v>
      </c>
      <c r="I603" s="1152"/>
      <c r="J603" s="1153"/>
      <c r="K603" s="341" t="s">
        <v>30</v>
      </c>
      <c r="L603" s="57"/>
      <c r="M603" s="57"/>
      <c r="N603" s="57"/>
      <c r="O603" s="57"/>
      <c r="P603" s="57"/>
      <c r="Q603" s="57"/>
      <c r="R603" s="57"/>
      <c r="S603" s="57"/>
      <c r="T603" s="57"/>
      <c r="U603" s="57"/>
      <c r="V603" s="639">
        <v>9000000</v>
      </c>
      <c r="W603" s="636">
        <v>25000000</v>
      </c>
      <c r="X603" s="639"/>
      <c r="Y603" s="61">
        <f t="shared" si="252"/>
        <v>34000000</v>
      </c>
    </row>
    <row r="604" spans="1:25" ht="71.25" customHeight="1">
      <c r="A604" s="41"/>
      <c r="B604" s="1151"/>
      <c r="C604" s="54">
        <v>36</v>
      </c>
      <c r="D604" s="550" t="s">
        <v>714</v>
      </c>
      <c r="E604" s="1060"/>
      <c r="F604" s="54">
        <v>211</v>
      </c>
      <c r="G604" s="52" t="s">
        <v>739</v>
      </c>
      <c r="H604" s="341" t="s">
        <v>716</v>
      </c>
      <c r="I604" s="1152"/>
      <c r="J604" s="1153"/>
      <c r="K604" s="341" t="s">
        <v>30</v>
      </c>
      <c r="L604" s="57"/>
      <c r="M604" s="57"/>
      <c r="N604" s="57"/>
      <c r="O604" s="57"/>
      <c r="P604" s="57"/>
      <c r="Q604" s="57"/>
      <c r="R604" s="57"/>
      <c r="S604" s="57"/>
      <c r="T604" s="57"/>
      <c r="U604" s="57"/>
      <c r="V604" s="168"/>
      <c r="W604" s="636">
        <f>25000000+40000000</f>
        <v>65000000</v>
      </c>
      <c r="X604" s="639"/>
      <c r="Y604" s="1036">
        <f t="shared" si="252"/>
        <v>65000000</v>
      </c>
    </row>
    <row r="605" spans="1:25" ht="15">
      <c r="A605" s="50"/>
      <c r="B605" s="1151"/>
      <c r="C605" s="356"/>
      <c r="D605" s="330"/>
      <c r="E605" s="640"/>
      <c r="F605" s="641"/>
      <c r="G605" s="640"/>
      <c r="H605" s="642"/>
      <c r="I605" s="643"/>
      <c r="J605" s="644"/>
      <c r="K605" s="642"/>
      <c r="L605" s="645"/>
      <c r="M605" s="645"/>
      <c r="N605" s="645"/>
      <c r="O605" s="645"/>
      <c r="P605" s="645"/>
      <c r="Q605" s="645"/>
      <c r="R605" s="645"/>
      <c r="S605" s="645"/>
      <c r="T605" s="645"/>
      <c r="U605" s="645"/>
      <c r="V605" s="646">
        <f t="shared" ref="V605:W605" si="253">SUM(V602:V604)</f>
        <v>9000000</v>
      </c>
      <c r="W605" s="646">
        <f t="shared" si="253"/>
        <v>120000000</v>
      </c>
      <c r="X605" s="646"/>
      <c r="Y605" s="635">
        <f t="shared" ref="Y605" si="254">SUM(Y602:Y604)</f>
        <v>129000000</v>
      </c>
    </row>
    <row r="606" spans="1:25" ht="15">
      <c r="A606" s="50"/>
      <c r="B606" s="1151"/>
      <c r="C606" s="87"/>
      <c r="D606" s="86"/>
      <c r="E606" s="86"/>
      <c r="F606" s="87"/>
      <c r="G606" s="86"/>
      <c r="H606" s="147"/>
      <c r="I606" s="271"/>
      <c r="J606" s="146"/>
      <c r="K606" s="87"/>
      <c r="L606" s="90"/>
      <c r="M606" s="90"/>
      <c r="N606" s="90"/>
      <c r="O606" s="90"/>
      <c r="P606" s="90"/>
      <c r="Q606" s="90"/>
      <c r="R606" s="91"/>
      <c r="S606" s="91"/>
      <c r="T606" s="90"/>
      <c r="U606" s="90"/>
      <c r="V606" s="122"/>
      <c r="W606" s="90"/>
      <c r="X606" s="91"/>
      <c r="Y606" s="94"/>
    </row>
    <row r="607" spans="1:25" ht="15">
      <c r="A607" s="50"/>
      <c r="B607" s="1151"/>
      <c r="C607" s="87"/>
      <c r="D607" s="52"/>
      <c r="E607" s="351">
        <v>73</v>
      </c>
      <c r="F607" s="109" t="s">
        <v>740</v>
      </c>
      <c r="G607" s="109"/>
      <c r="H607" s="109"/>
      <c r="I607" s="109"/>
      <c r="J607" s="109"/>
      <c r="K607" s="109"/>
      <c r="L607" s="111"/>
      <c r="M607" s="111"/>
      <c r="N607" s="111"/>
      <c r="O607" s="111"/>
      <c r="P607" s="111"/>
      <c r="Q607" s="111"/>
      <c r="R607" s="111"/>
      <c r="S607" s="111"/>
      <c r="T607" s="111"/>
      <c r="U607" s="111"/>
      <c r="V607" s="112"/>
      <c r="W607" s="111"/>
      <c r="X607" s="111"/>
      <c r="Y607" s="529"/>
    </row>
    <row r="608" spans="1:25" ht="91.5" customHeight="1">
      <c r="A608" s="50"/>
      <c r="B608" s="1151"/>
      <c r="C608" s="51">
        <v>36</v>
      </c>
      <c r="D608" s="360" t="s">
        <v>714</v>
      </c>
      <c r="E608" s="138"/>
      <c r="F608" s="139">
        <v>212</v>
      </c>
      <c r="G608" s="138" t="s">
        <v>741</v>
      </c>
      <c r="H608" s="341" t="s">
        <v>716</v>
      </c>
      <c r="I608" s="630" t="s">
        <v>742</v>
      </c>
      <c r="J608" s="632" t="s">
        <v>743</v>
      </c>
      <c r="K608" s="341" t="s">
        <v>30</v>
      </c>
      <c r="L608" s="353"/>
      <c r="M608" s="353"/>
      <c r="N608" s="353"/>
      <c r="O608" s="353"/>
      <c r="P608" s="353"/>
      <c r="Q608" s="353"/>
      <c r="R608" s="353"/>
      <c r="S608" s="353"/>
      <c r="T608" s="353"/>
      <c r="U608" s="353"/>
      <c r="V608" s="354"/>
      <c r="W608" s="394">
        <f>10000000+40000000</f>
        <v>50000000</v>
      </c>
      <c r="X608" s="639"/>
      <c r="Y608" s="1036">
        <f t="shared" ref="Y608" si="255">+L608+M608+N608+O608+P608+Q608+R608+S608+T608+U608+V608+W608+X608</f>
        <v>50000000</v>
      </c>
    </row>
    <row r="609" spans="1:25" s="29" customFormat="1" ht="20.25">
      <c r="A609" s="50"/>
      <c r="B609" s="1151"/>
      <c r="C609" s="160"/>
      <c r="D609" s="138"/>
      <c r="E609" s="140"/>
      <c r="F609" s="141"/>
      <c r="G609" s="140"/>
      <c r="H609" s="179"/>
      <c r="I609" s="647"/>
      <c r="J609" s="648"/>
      <c r="K609" s="179"/>
      <c r="L609" s="181"/>
      <c r="M609" s="181"/>
      <c r="N609" s="181"/>
      <c r="O609" s="181"/>
      <c r="P609" s="181"/>
      <c r="Q609" s="181"/>
      <c r="R609" s="181"/>
      <c r="S609" s="181"/>
      <c r="T609" s="181"/>
      <c r="U609" s="181"/>
      <c r="V609" s="649">
        <f t="shared" ref="V609:W609" si="256">SUM(V608)</f>
        <v>0</v>
      </c>
      <c r="W609" s="649">
        <f t="shared" si="256"/>
        <v>50000000</v>
      </c>
      <c r="X609" s="649"/>
      <c r="Y609" s="650">
        <f t="shared" ref="Y609" si="257">SUM(Y608)</f>
        <v>50000000</v>
      </c>
    </row>
    <row r="610" spans="1:25" ht="15">
      <c r="A610" s="50"/>
      <c r="B610" s="415"/>
      <c r="C610" s="145"/>
      <c r="D610" s="144"/>
      <c r="E610" s="144"/>
      <c r="F610" s="145"/>
      <c r="G610" s="144"/>
      <c r="H610" s="651"/>
      <c r="I610" s="652"/>
      <c r="J610" s="653"/>
      <c r="K610" s="651"/>
      <c r="L610" s="417"/>
      <c r="M610" s="417"/>
      <c r="N610" s="417"/>
      <c r="O610" s="417"/>
      <c r="P610" s="417"/>
      <c r="Q610" s="417"/>
      <c r="R610" s="417"/>
      <c r="S610" s="417"/>
      <c r="T610" s="417"/>
      <c r="U610" s="417"/>
      <c r="V610" s="654">
        <f t="shared" ref="V610:W610" si="258">V609+V605</f>
        <v>9000000</v>
      </c>
      <c r="W610" s="654">
        <f t="shared" si="258"/>
        <v>170000000</v>
      </c>
      <c r="X610" s="654"/>
      <c r="Y610" s="655">
        <f t="shared" ref="Y610" si="259">Y609+Y605</f>
        <v>179000000</v>
      </c>
    </row>
    <row r="611" spans="1:25" ht="15">
      <c r="A611" s="50"/>
      <c r="B611" s="86"/>
      <c r="C611" s="87"/>
      <c r="D611" s="86"/>
      <c r="E611" s="86"/>
      <c r="F611" s="87"/>
      <c r="G611" s="86"/>
      <c r="H611" s="147"/>
      <c r="I611" s="271"/>
      <c r="J611" s="146"/>
      <c r="K611" s="87"/>
      <c r="L611" s="90"/>
      <c r="M611" s="90"/>
      <c r="N611" s="90"/>
      <c r="O611" s="90"/>
      <c r="P611" s="90"/>
      <c r="Q611" s="90"/>
      <c r="R611" s="91"/>
      <c r="S611" s="91"/>
      <c r="T611" s="90"/>
      <c r="U611" s="90"/>
      <c r="V611" s="122"/>
      <c r="W611" s="90"/>
      <c r="X611" s="90"/>
      <c r="Y611" s="94"/>
    </row>
    <row r="612" spans="1:25">
      <c r="A612" s="50"/>
      <c r="B612" s="656">
        <v>22</v>
      </c>
      <c r="C612" s="38" t="s">
        <v>744</v>
      </c>
      <c r="D612" s="37"/>
      <c r="E612" s="37"/>
      <c r="F612" s="38"/>
      <c r="G612" s="37"/>
      <c r="H612" s="37"/>
      <c r="I612" s="39"/>
      <c r="J612" s="37"/>
      <c r="K612" s="37"/>
      <c r="L612" s="102"/>
      <c r="M612" s="102"/>
      <c r="N612" s="102"/>
      <c r="O612" s="102"/>
      <c r="P612" s="102"/>
      <c r="Q612" s="102"/>
      <c r="R612" s="102"/>
      <c r="S612" s="102"/>
      <c r="T612" s="102"/>
      <c r="U612" s="102"/>
      <c r="V612" s="103"/>
      <c r="W612" s="102"/>
      <c r="X612" s="102"/>
      <c r="Y612" s="527"/>
    </row>
    <row r="613" spans="1:25">
      <c r="A613" s="50"/>
      <c r="B613" s="1151"/>
      <c r="C613" s="87"/>
      <c r="D613" s="86"/>
      <c r="E613" s="351">
        <v>74</v>
      </c>
      <c r="F613" s="109" t="s">
        <v>745</v>
      </c>
      <c r="G613" s="109"/>
      <c r="H613" s="109"/>
      <c r="I613" s="110"/>
      <c r="J613" s="109"/>
      <c r="K613" s="109"/>
      <c r="L613" s="111"/>
      <c r="M613" s="111"/>
      <c r="N613" s="111"/>
      <c r="O613" s="111"/>
      <c r="P613" s="111"/>
      <c r="Q613" s="111"/>
      <c r="R613" s="111"/>
      <c r="S613" s="111"/>
      <c r="T613" s="111"/>
      <c r="U613" s="111"/>
      <c r="V613" s="112"/>
      <c r="W613" s="111"/>
      <c r="X613" s="111"/>
      <c r="Y613" s="529"/>
    </row>
    <row r="614" spans="1:25" ht="61.5" customHeight="1">
      <c r="A614" s="50"/>
      <c r="B614" s="1151"/>
      <c r="C614" s="51">
        <v>36</v>
      </c>
      <c r="D614" s="360" t="s">
        <v>714</v>
      </c>
      <c r="E614" s="52"/>
      <c r="F614" s="162">
        <v>213</v>
      </c>
      <c r="G614" s="52" t="s">
        <v>746</v>
      </c>
      <c r="H614" s="341" t="s">
        <v>716</v>
      </c>
      <c r="I614" s="630" t="s">
        <v>747</v>
      </c>
      <c r="J614" s="657" t="s">
        <v>748</v>
      </c>
      <c r="K614" s="341" t="s">
        <v>30</v>
      </c>
      <c r="L614" s="57"/>
      <c r="M614" s="57"/>
      <c r="N614" s="57"/>
      <c r="O614" s="57"/>
      <c r="P614" s="57"/>
      <c r="Q614" s="57"/>
      <c r="R614" s="57"/>
      <c r="S614" s="57"/>
      <c r="T614" s="57"/>
      <c r="U614" s="57"/>
      <c r="V614" s="241">
        <v>20000000</v>
      </c>
      <c r="W614" s="658"/>
      <c r="X614" s="60"/>
      <c r="Y614" s="61">
        <f t="shared" ref="Y614" si="260">+L614+M614+N614+O614+P614+Q614+R614+S614+T614+U614+V614+W614+X614</f>
        <v>20000000</v>
      </c>
    </row>
    <row r="615" spans="1:25" ht="15">
      <c r="A615" s="50"/>
      <c r="B615" s="1151"/>
      <c r="C615" s="51"/>
      <c r="D615" s="52"/>
      <c r="E615" s="64"/>
      <c r="F615" s="65"/>
      <c r="G615" s="64"/>
      <c r="H615" s="66"/>
      <c r="I615" s="406"/>
      <c r="J615" s="319"/>
      <c r="K615" s="66"/>
      <c r="L615" s="68"/>
      <c r="M615" s="68"/>
      <c r="N615" s="68"/>
      <c r="O615" s="68"/>
      <c r="P615" s="68"/>
      <c r="Q615" s="68"/>
      <c r="R615" s="68"/>
      <c r="S615" s="68"/>
      <c r="T615" s="68"/>
      <c r="U615" s="68"/>
      <c r="V615" s="221">
        <f t="shared" ref="V615:Y615" si="261">SUM(V614)</f>
        <v>20000000</v>
      </c>
      <c r="W615" s="68">
        <f t="shared" si="261"/>
        <v>0</v>
      </c>
      <c r="X615" s="68">
        <f t="shared" si="261"/>
        <v>0</v>
      </c>
      <c r="Y615" s="659">
        <f t="shared" si="261"/>
        <v>20000000</v>
      </c>
    </row>
    <row r="616" spans="1:25" ht="15">
      <c r="A616" s="63"/>
      <c r="B616" s="142"/>
      <c r="C616" s="71"/>
      <c r="D616" s="70"/>
      <c r="E616" s="70"/>
      <c r="F616" s="71"/>
      <c r="G616" s="70"/>
      <c r="H616" s="72"/>
      <c r="I616" s="637"/>
      <c r="J616" s="638"/>
      <c r="K616" s="72"/>
      <c r="L616" s="74"/>
      <c r="M616" s="74"/>
      <c r="N616" s="74"/>
      <c r="O616" s="74"/>
      <c r="P616" s="74"/>
      <c r="Q616" s="74"/>
      <c r="R616" s="74"/>
      <c r="S616" s="74"/>
      <c r="T616" s="74"/>
      <c r="U616" s="74"/>
      <c r="V616" s="222">
        <f t="shared" ref="V616:Y616" si="262">V615</f>
        <v>20000000</v>
      </c>
      <c r="W616" s="74">
        <f t="shared" si="262"/>
        <v>0</v>
      </c>
      <c r="X616" s="74">
        <f t="shared" si="262"/>
        <v>0</v>
      </c>
      <c r="Y616" s="660">
        <f t="shared" si="262"/>
        <v>20000000</v>
      </c>
    </row>
    <row r="617" spans="1:25" ht="15">
      <c r="A617" s="75"/>
      <c r="B617" s="75"/>
      <c r="C617" s="76"/>
      <c r="D617" s="75"/>
      <c r="E617" s="75"/>
      <c r="F617" s="76"/>
      <c r="G617" s="75"/>
      <c r="H617" s="77"/>
      <c r="I617" s="661"/>
      <c r="J617" s="662"/>
      <c r="K617" s="77"/>
      <c r="L617" s="79"/>
      <c r="M617" s="79"/>
      <c r="N617" s="79"/>
      <c r="O617" s="79"/>
      <c r="P617" s="79"/>
      <c r="Q617" s="79"/>
      <c r="R617" s="79"/>
      <c r="S617" s="79"/>
      <c r="T617" s="79"/>
      <c r="U617" s="79"/>
      <c r="V617" s="223">
        <f t="shared" ref="V617:Y617" si="263">V616+V610+V598</f>
        <v>821316151</v>
      </c>
      <c r="W617" s="79">
        <f t="shared" si="263"/>
        <v>762169320</v>
      </c>
      <c r="X617" s="79">
        <f t="shared" si="263"/>
        <v>0</v>
      </c>
      <c r="Y617" s="663">
        <f t="shared" si="263"/>
        <v>1583485471</v>
      </c>
    </row>
    <row r="618" spans="1:25" s="29" customFormat="1" ht="20.25">
      <c r="A618" s="80"/>
      <c r="B618" s="80"/>
      <c r="C618" s="81"/>
      <c r="D618" s="80"/>
      <c r="E618" s="80"/>
      <c r="F618" s="81"/>
      <c r="G618" s="80"/>
      <c r="H618" s="82"/>
      <c r="I618" s="664"/>
      <c r="J618" s="553"/>
      <c r="K618" s="82"/>
      <c r="L618" s="84"/>
      <c r="M618" s="84"/>
      <c r="N618" s="84"/>
      <c r="O618" s="84"/>
      <c r="P618" s="84"/>
      <c r="Q618" s="84"/>
      <c r="R618" s="84"/>
      <c r="S618" s="84"/>
      <c r="T618" s="84"/>
      <c r="U618" s="84"/>
      <c r="V618" s="224">
        <f t="shared" ref="V618:Y618" si="264">V617</f>
        <v>821316151</v>
      </c>
      <c r="W618" s="84">
        <f t="shared" si="264"/>
        <v>762169320</v>
      </c>
      <c r="X618" s="84">
        <f t="shared" si="264"/>
        <v>0</v>
      </c>
      <c r="Y618" s="665">
        <f t="shared" si="264"/>
        <v>1583485471</v>
      </c>
    </row>
    <row r="619" spans="1:25" s="29" customFormat="1" ht="20.25">
      <c r="A619" s="182"/>
      <c r="B619" s="183"/>
      <c r="C619" s="184"/>
      <c r="D619" s="183"/>
      <c r="E619" s="183"/>
      <c r="F619" s="184"/>
      <c r="G619" s="183"/>
      <c r="H619" s="185"/>
      <c r="I619" s="666"/>
      <c r="J619" s="667"/>
      <c r="K619" s="185"/>
      <c r="L619" s="668"/>
      <c r="M619" s="668"/>
      <c r="N619" s="668"/>
      <c r="O619" s="668"/>
      <c r="P619" s="668"/>
      <c r="Q619" s="668"/>
      <c r="R619" s="668"/>
      <c r="S619" s="668"/>
      <c r="T619" s="668"/>
      <c r="U619" s="668"/>
      <c r="V619" s="668"/>
      <c r="W619" s="668"/>
      <c r="X619" s="669"/>
      <c r="Y619" s="190"/>
    </row>
    <row r="620" spans="1:25" ht="20.25">
      <c r="A620" s="670" t="s">
        <v>749</v>
      </c>
      <c r="B620" s="670"/>
      <c r="C620" s="671"/>
      <c r="D620" s="670"/>
      <c r="E620" s="610"/>
      <c r="F620" s="611"/>
      <c r="G620" s="610"/>
      <c r="H620" s="610"/>
      <c r="I620" s="612"/>
      <c r="J620" s="610"/>
      <c r="K620" s="611"/>
      <c r="L620" s="672"/>
      <c r="M620" s="672"/>
      <c r="N620" s="672"/>
      <c r="O620" s="672"/>
      <c r="P620" s="672"/>
      <c r="Q620" s="672"/>
      <c r="R620" s="672"/>
      <c r="S620" s="672"/>
      <c r="T620" s="672"/>
      <c r="U620" s="672"/>
      <c r="V620" s="673"/>
      <c r="W620" s="672"/>
      <c r="X620" s="672"/>
      <c r="Y620" s="674"/>
    </row>
    <row r="621" spans="1:25">
      <c r="A621" s="675">
        <v>2</v>
      </c>
      <c r="B621" s="1154" t="s">
        <v>141</v>
      </c>
      <c r="C621" s="1154"/>
      <c r="D621" s="1154"/>
      <c r="E621" s="676"/>
      <c r="F621" s="677"/>
      <c r="G621" s="676"/>
      <c r="H621" s="676"/>
      <c r="I621" s="678"/>
      <c r="J621" s="676"/>
      <c r="K621" s="676"/>
      <c r="L621" s="679"/>
      <c r="M621" s="679"/>
      <c r="N621" s="679"/>
      <c r="O621" s="679"/>
      <c r="P621" s="679"/>
      <c r="Q621" s="679"/>
      <c r="R621" s="679"/>
      <c r="S621" s="679"/>
      <c r="T621" s="679"/>
      <c r="U621" s="679"/>
      <c r="V621" s="680"/>
      <c r="W621" s="679"/>
      <c r="X621" s="679"/>
      <c r="Y621" s="681"/>
    </row>
    <row r="622" spans="1:25">
      <c r="A622" s="682"/>
      <c r="B622" s="149">
        <v>4</v>
      </c>
      <c r="C622" s="1144" t="s">
        <v>142</v>
      </c>
      <c r="D622" s="1144"/>
      <c r="E622" s="683"/>
      <c r="F622" s="328"/>
      <c r="G622" s="683"/>
      <c r="H622" s="683"/>
      <c r="I622" s="684"/>
      <c r="J622" s="683"/>
      <c r="K622" s="683"/>
      <c r="L622" s="685"/>
      <c r="M622" s="685"/>
      <c r="N622" s="685"/>
      <c r="O622" s="685"/>
      <c r="P622" s="685"/>
      <c r="Q622" s="685"/>
      <c r="R622" s="685"/>
      <c r="S622" s="685"/>
      <c r="T622" s="685"/>
      <c r="U622" s="685"/>
      <c r="V622" s="686"/>
      <c r="W622" s="685"/>
      <c r="X622" s="685"/>
      <c r="Y622" s="687"/>
    </row>
    <row r="623" spans="1:25">
      <c r="A623" s="528"/>
      <c r="B623" s="528"/>
      <c r="C623" s="105"/>
      <c r="D623" s="528"/>
      <c r="E623" s="351">
        <v>14</v>
      </c>
      <c r="F623" s="278" t="s">
        <v>143</v>
      </c>
      <c r="G623" s="109"/>
      <c r="H623" s="109"/>
      <c r="I623" s="110"/>
      <c r="J623" s="109"/>
      <c r="K623" s="109"/>
      <c r="L623" s="111"/>
      <c r="M623" s="111"/>
      <c r="N623" s="111"/>
      <c r="O623" s="111"/>
      <c r="P623" s="111"/>
      <c r="Q623" s="111"/>
      <c r="R623" s="111"/>
      <c r="S623" s="111"/>
      <c r="T623" s="111"/>
      <c r="U623" s="111"/>
      <c r="V623" s="112"/>
      <c r="W623" s="111"/>
      <c r="X623" s="111"/>
      <c r="Y623" s="113"/>
    </row>
    <row r="624" spans="1:25" ht="66.75" customHeight="1">
      <c r="A624" s="688"/>
      <c r="B624" s="688"/>
      <c r="C624" s="346">
        <v>9</v>
      </c>
      <c r="D624" s="347" t="s">
        <v>750</v>
      </c>
      <c r="E624" s="449"/>
      <c r="F624" s="231">
        <v>54</v>
      </c>
      <c r="G624" s="232" t="s">
        <v>145</v>
      </c>
      <c r="H624" s="234" t="s">
        <v>751</v>
      </c>
      <c r="I624" s="615" t="s">
        <v>752</v>
      </c>
      <c r="J624" s="689" t="s">
        <v>753</v>
      </c>
      <c r="K624" s="234" t="s">
        <v>30</v>
      </c>
      <c r="L624" s="235"/>
      <c r="M624" s="238"/>
      <c r="N624" s="459"/>
      <c r="O624" s="235"/>
      <c r="P624" s="235"/>
      <c r="Q624" s="235"/>
      <c r="R624" s="235"/>
      <c r="S624" s="235"/>
      <c r="T624" s="235"/>
      <c r="U624" s="235"/>
      <c r="V624" s="690"/>
      <c r="W624" s="691">
        <v>218280000</v>
      </c>
      <c r="X624" s="238"/>
      <c r="Y624" s="61">
        <f t="shared" ref="Y624" si="265">+L624+M624+N624+O624+P624+Q624+R624+S624+T624+U624+V624+W624+X624</f>
        <v>218280000</v>
      </c>
    </row>
    <row r="625" spans="1:25" ht="15">
      <c r="A625" s="202"/>
      <c r="B625" s="202"/>
      <c r="C625" s="54"/>
      <c r="D625" s="202"/>
      <c r="E625" s="452"/>
      <c r="F625" s="692"/>
      <c r="G625" s="693"/>
      <c r="H625" s="693"/>
      <c r="I625" s="694"/>
      <c r="J625" s="693"/>
      <c r="K625" s="693"/>
      <c r="L625" s="695"/>
      <c r="M625" s="695"/>
      <c r="N625" s="695"/>
      <c r="O625" s="695"/>
      <c r="P625" s="695"/>
      <c r="Q625" s="695"/>
      <c r="R625" s="695"/>
      <c r="S625" s="695"/>
      <c r="T625" s="695"/>
      <c r="U625" s="695"/>
      <c r="V625" s="696"/>
      <c r="W625" s="221">
        <f t="shared" ref="W625" si="266">SUM(W624)</f>
        <v>218280000</v>
      </c>
      <c r="X625" s="221"/>
      <c r="Y625" s="697">
        <f t="shared" ref="Y625" si="267">SUM(Y624)</f>
        <v>218280000</v>
      </c>
    </row>
    <row r="626" spans="1:25">
      <c r="A626" s="528"/>
      <c r="B626" s="528"/>
      <c r="C626" s="54"/>
      <c r="D626" s="202"/>
      <c r="E626" s="698"/>
      <c r="F626" s="699"/>
      <c r="G626" s="44"/>
      <c r="H626" s="700"/>
      <c r="I626" s="701"/>
      <c r="J626" s="700"/>
      <c r="K626" s="44"/>
      <c r="L626" s="702"/>
      <c r="M626" s="702"/>
      <c r="N626" s="702"/>
      <c r="O626" s="702"/>
      <c r="P626" s="702"/>
      <c r="Q626" s="702"/>
      <c r="R626" s="702"/>
      <c r="S626" s="702"/>
      <c r="T626" s="702"/>
      <c r="U626" s="702"/>
      <c r="V626" s="703"/>
      <c r="W626" s="704"/>
      <c r="X626" s="703"/>
      <c r="Y626" s="94"/>
    </row>
    <row r="627" spans="1:25">
      <c r="A627" s="528"/>
      <c r="B627" s="528"/>
      <c r="C627" s="54"/>
      <c r="D627" s="202"/>
      <c r="E627" s="705">
        <v>15</v>
      </c>
      <c r="F627" s="277" t="s">
        <v>149</v>
      </c>
      <c r="G627" s="109"/>
      <c r="H627" s="273"/>
      <c r="I627" s="706"/>
      <c r="J627" s="273"/>
      <c r="K627" s="109"/>
      <c r="L627" s="111"/>
      <c r="M627" s="111"/>
      <c r="N627" s="111"/>
      <c r="O627" s="111"/>
      <c r="P627" s="111"/>
      <c r="Q627" s="111"/>
      <c r="R627" s="111"/>
      <c r="S627" s="111"/>
      <c r="T627" s="111"/>
      <c r="U627" s="111"/>
      <c r="V627" s="112"/>
      <c r="W627" s="707"/>
      <c r="X627" s="707"/>
      <c r="Y627" s="529"/>
    </row>
    <row r="628" spans="1:25" ht="77.25" customHeight="1">
      <c r="A628" s="688"/>
      <c r="B628" s="688"/>
      <c r="C628" s="251">
        <v>36</v>
      </c>
      <c r="D628" s="587" t="s">
        <v>754</v>
      </c>
      <c r="E628" s="449"/>
      <c r="F628" s="234">
        <v>59</v>
      </c>
      <c r="G628" s="232" t="s">
        <v>156</v>
      </c>
      <c r="H628" s="708" t="s">
        <v>157</v>
      </c>
      <c r="I628" s="1132" t="s">
        <v>752</v>
      </c>
      <c r="J628" s="1145" t="s">
        <v>753</v>
      </c>
      <c r="K628" s="234" t="s">
        <v>109</v>
      </c>
      <c r="L628" s="709">
        <v>413967000</v>
      </c>
      <c r="M628" s="235"/>
      <c r="N628" s="235"/>
      <c r="O628" s="235"/>
      <c r="P628" s="235"/>
      <c r="Q628" s="235"/>
      <c r="R628" s="235"/>
      <c r="S628" s="235"/>
      <c r="T628" s="235"/>
      <c r="U628" s="235"/>
      <c r="V628" s="459"/>
      <c r="W628" s="710"/>
      <c r="X628" s="238"/>
      <c r="Y628" s="61">
        <f t="shared" ref="Y628:Y631" si="268">+L628+M628+N628+O628+P628+Q628+R628+S628+T628+U628+V628+W628+X628</f>
        <v>413967000</v>
      </c>
    </row>
    <row r="629" spans="1:25" ht="70.5" customHeight="1">
      <c r="A629" s="688"/>
      <c r="B629" s="688"/>
      <c r="C629" s="341">
        <v>14</v>
      </c>
      <c r="D629" s="52" t="s">
        <v>150</v>
      </c>
      <c r="E629" s="449"/>
      <c r="F629" s="234">
        <v>57</v>
      </c>
      <c r="G629" s="232" t="s">
        <v>151</v>
      </c>
      <c r="H629" s="708" t="s">
        <v>152</v>
      </c>
      <c r="I629" s="1136"/>
      <c r="J629" s="1146"/>
      <c r="K629" s="234" t="s">
        <v>109</v>
      </c>
      <c r="L629" s="709">
        <v>413967000</v>
      </c>
      <c r="M629" s="235"/>
      <c r="N629" s="235"/>
      <c r="O629" s="235"/>
      <c r="P629" s="235"/>
      <c r="Q629" s="235"/>
      <c r="R629" s="235"/>
      <c r="S629" s="235"/>
      <c r="T629" s="235"/>
      <c r="U629" s="235"/>
      <c r="V629" s="459"/>
      <c r="W629" s="238">
        <v>218280000</v>
      </c>
      <c r="X629" s="248"/>
      <c r="Y629" s="61">
        <f t="shared" si="268"/>
        <v>632247000</v>
      </c>
    </row>
    <row r="630" spans="1:25" ht="81" customHeight="1">
      <c r="A630" s="688"/>
      <c r="B630" s="688"/>
      <c r="C630" s="251">
        <v>10</v>
      </c>
      <c r="D630" s="213" t="s">
        <v>575</v>
      </c>
      <c r="E630" s="449"/>
      <c r="F630" s="234">
        <v>60</v>
      </c>
      <c r="G630" s="232" t="s">
        <v>755</v>
      </c>
      <c r="H630" s="708" t="s">
        <v>157</v>
      </c>
      <c r="I630" s="1136"/>
      <c r="J630" s="1146"/>
      <c r="K630" s="234" t="s">
        <v>109</v>
      </c>
      <c r="L630" s="709"/>
      <c r="M630" s="235"/>
      <c r="N630" s="235"/>
      <c r="O630" s="235"/>
      <c r="P630" s="235"/>
      <c r="Q630" s="235"/>
      <c r="R630" s="235"/>
      <c r="S630" s="235"/>
      <c r="T630" s="235"/>
      <c r="U630" s="235"/>
      <c r="V630" s="459"/>
      <c r="W630" s="711">
        <v>218280000</v>
      </c>
      <c r="X630" s="238"/>
      <c r="Y630" s="61">
        <f t="shared" si="268"/>
        <v>218280000</v>
      </c>
    </row>
    <row r="631" spans="1:25" ht="77.25" customHeight="1">
      <c r="A631" s="688"/>
      <c r="B631" s="688"/>
      <c r="C631" s="251">
        <v>32</v>
      </c>
      <c r="D631" s="213" t="s">
        <v>160</v>
      </c>
      <c r="E631" s="449"/>
      <c r="F631" s="234">
        <v>63</v>
      </c>
      <c r="G631" s="232" t="s">
        <v>161</v>
      </c>
      <c r="H631" s="708" t="s">
        <v>162</v>
      </c>
      <c r="I631" s="1133"/>
      <c r="J631" s="1147"/>
      <c r="K631" s="234" t="s">
        <v>109</v>
      </c>
      <c r="L631" s="709">
        <f>413967000+115-1000</f>
        <v>413966115</v>
      </c>
      <c r="M631" s="235"/>
      <c r="N631" s="235"/>
      <c r="O631" s="235"/>
      <c r="P631" s="235"/>
      <c r="Q631" s="235"/>
      <c r="R631" s="235"/>
      <c r="S631" s="235"/>
      <c r="T631" s="423"/>
      <c r="U631" s="423"/>
      <c r="V631" s="712"/>
      <c r="W631" s="711">
        <v>218280000</v>
      </c>
      <c r="X631" s="238"/>
      <c r="Y631" s="61">
        <f t="shared" si="268"/>
        <v>632246115</v>
      </c>
    </row>
    <row r="632" spans="1:25" ht="15">
      <c r="A632" s="682"/>
      <c r="B632" s="528"/>
      <c r="C632" s="54"/>
      <c r="D632" s="52"/>
      <c r="E632" s="452"/>
      <c r="F632" s="65"/>
      <c r="G632" s="64"/>
      <c r="H632" s="65"/>
      <c r="I632" s="67"/>
      <c r="J632" s="64"/>
      <c r="K632" s="65"/>
      <c r="L632" s="68">
        <f t="shared" ref="L632" si="269">SUM(L628:L631)</f>
        <v>1241900115</v>
      </c>
      <c r="M632" s="68"/>
      <c r="N632" s="68"/>
      <c r="O632" s="68"/>
      <c r="P632" s="68"/>
      <c r="Q632" s="68"/>
      <c r="R632" s="68"/>
      <c r="S632" s="68"/>
      <c r="T632" s="68"/>
      <c r="U632" s="68"/>
      <c r="V632" s="68"/>
      <c r="W632" s="68">
        <f t="shared" ref="W632" si="270">SUM(W628:W631)</f>
        <v>654840000</v>
      </c>
      <c r="X632" s="68"/>
      <c r="Y632" s="68">
        <f t="shared" ref="Y632" si="271">SUM(Y628:Y631)</f>
        <v>1896740115</v>
      </c>
    </row>
    <row r="633" spans="1:25" ht="15">
      <c r="A633" s="682"/>
      <c r="B633" s="70"/>
      <c r="C633" s="71"/>
      <c r="D633" s="70"/>
      <c r="E633" s="142"/>
      <c r="F633" s="71"/>
      <c r="G633" s="70"/>
      <c r="H633" s="71"/>
      <c r="I633" s="73"/>
      <c r="J633" s="70"/>
      <c r="K633" s="71"/>
      <c r="L633" s="74">
        <f t="shared" ref="L633:L635" si="272">L632</f>
        <v>1241900115</v>
      </c>
      <c r="M633" s="74"/>
      <c r="N633" s="74"/>
      <c r="O633" s="74"/>
      <c r="P633" s="74"/>
      <c r="Q633" s="74"/>
      <c r="R633" s="74"/>
      <c r="S633" s="74"/>
      <c r="T633" s="74"/>
      <c r="U633" s="74"/>
      <c r="V633" s="74"/>
      <c r="W633" s="74">
        <f t="shared" ref="W633" si="273">W632+W625</f>
        <v>873120000</v>
      </c>
      <c r="X633" s="74"/>
      <c r="Y633" s="74">
        <f t="shared" ref="Y633" si="274">Y632+Y625</f>
        <v>2115020115</v>
      </c>
    </row>
    <row r="634" spans="1:25" ht="15">
      <c r="A634" s="75"/>
      <c r="B634" s="75"/>
      <c r="C634" s="76"/>
      <c r="D634" s="75"/>
      <c r="E634" s="255"/>
      <c r="F634" s="76"/>
      <c r="G634" s="75"/>
      <c r="H634" s="76"/>
      <c r="I634" s="78"/>
      <c r="J634" s="75"/>
      <c r="K634" s="76"/>
      <c r="L634" s="79">
        <f t="shared" si="272"/>
        <v>1241900115</v>
      </c>
      <c r="M634" s="79"/>
      <c r="N634" s="79"/>
      <c r="O634" s="79"/>
      <c r="P634" s="79"/>
      <c r="Q634" s="79"/>
      <c r="R634" s="79"/>
      <c r="S634" s="79"/>
      <c r="T634" s="79"/>
      <c r="U634" s="79"/>
      <c r="V634" s="79"/>
      <c r="W634" s="79">
        <f t="shared" ref="W634:W635" si="275">W633</f>
        <v>873120000</v>
      </c>
      <c r="X634" s="79"/>
      <c r="Y634" s="79">
        <f t="shared" ref="Y634:Y635" si="276">Y633</f>
        <v>2115020115</v>
      </c>
    </row>
    <row r="635" spans="1:25" ht="15">
      <c r="A635" s="80"/>
      <c r="B635" s="80"/>
      <c r="C635" s="81"/>
      <c r="D635" s="80"/>
      <c r="E635" s="713"/>
      <c r="F635" s="81"/>
      <c r="G635" s="80"/>
      <c r="H635" s="81"/>
      <c r="I635" s="83"/>
      <c r="J635" s="80"/>
      <c r="K635" s="81"/>
      <c r="L635" s="84">
        <f t="shared" si="272"/>
        <v>1241900115</v>
      </c>
      <c r="M635" s="84"/>
      <c r="N635" s="84"/>
      <c r="O635" s="84"/>
      <c r="P635" s="84"/>
      <c r="Q635" s="84"/>
      <c r="R635" s="84"/>
      <c r="S635" s="84"/>
      <c r="T635" s="84"/>
      <c r="U635" s="84"/>
      <c r="V635" s="84"/>
      <c r="W635" s="84">
        <f t="shared" si="275"/>
        <v>873120000</v>
      </c>
      <c r="X635" s="84"/>
      <c r="Y635" s="84">
        <f t="shared" si="276"/>
        <v>2115020115</v>
      </c>
    </row>
    <row r="636" spans="1:25" ht="27.75" customHeight="1">
      <c r="A636" s="213"/>
      <c r="B636" s="213"/>
      <c r="C636" s="162"/>
      <c r="D636" s="213"/>
      <c r="E636" s="714"/>
      <c r="F636" s="715"/>
      <c r="G636" s="714"/>
      <c r="H636" s="715"/>
      <c r="I636" s="716"/>
      <c r="J636" s="714"/>
      <c r="K636" s="715"/>
      <c r="L636" s="93"/>
      <c r="M636" s="93"/>
      <c r="N636" s="93"/>
      <c r="O636" s="93"/>
      <c r="P636" s="93"/>
      <c r="Q636" s="93"/>
      <c r="R636" s="93"/>
      <c r="S636" s="93"/>
      <c r="T636" s="93"/>
      <c r="U636" s="93"/>
      <c r="V636" s="717"/>
      <c r="W636" s="93"/>
      <c r="X636" s="93"/>
      <c r="Y636" s="94"/>
    </row>
    <row r="637" spans="1:25" ht="36.75" customHeight="1">
      <c r="A637" s="718" t="s">
        <v>756</v>
      </c>
      <c r="B637" s="718"/>
      <c r="C637" s="719"/>
      <c r="D637" s="718"/>
      <c r="E637" s="24"/>
      <c r="F637" s="25"/>
      <c r="G637" s="24"/>
      <c r="H637" s="24"/>
      <c r="I637" s="26"/>
      <c r="J637" s="24"/>
      <c r="K637" s="25"/>
      <c r="L637" s="95"/>
      <c r="M637" s="95"/>
      <c r="N637" s="95"/>
      <c r="O637" s="95"/>
      <c r="P637" s="95"/>
      <c r="Q637" s="95"/>
      <c r="R637" s="95"/>
      <c r="S637" s="95"/>
      <c r="T637" s="95"/>
      <c r="U637" s="95"/>
      <c r="V637" s="96"/>
      <c r="W637" s="95"/>
      <c r="X637" s="95"/>
      <c r="Y637" s="525"/>
    </row>
    <row r="638" spans="1:25" ht="24.75" customHeight="1">
      <c r="A638" s="675">
        <v>4</v>
      </c>
      <c r="B638" s="720" t="s">
        <v>757</v>
      </c>
      <c r="C638" s="721"/>
      <c r="D638" s="720"/>
      <c r="E638" s="676"/>
      <c r="F638" s="677"/>
      <c r="G638" s="676"/>
      <c r="H638" s="676"/>
      <c r="I638" s="678"/>
      <c r="J638" s="676"/>
      <c r="K638" s="676"/>
      <c r="L638" s="679"/>
      <c r="M638" s="679"/>
      <c r="N638" s="679"/>
      <c r="O638" s="679"/>
      <c r="P638" s="679"/>
      <c r="Q638" s="679"/>
      <c r="R638" s="679"/>
      <c r="S638" s="679"/>
      <c r="T638" s="679"/>
      <c r="U638" s="679"/>
      <c r="V638" s="680"/>
      <c r="W638" s="679"/>
      <c r="X638" s="679"/>
      <c r="Y638" s="681"/>
    </row>
    <row r="639" spans="1:25" ht="24.75" customHeight="1">
      <c r="A639" s="101"/>
      <c r="B639" s="149">
        <v>23</v>
      </c>
      <c r="C639" s="722" t="s">
        <v>188</v>
      </c>
      <c r="D639" s="723"/>
      <c r="E639" s="37"/>
      <c r="F639" s="38"/>
      <c r="G639" s="37"/>
      <c r="H639" s="683"/>
      <c r="I639" s="684"/>
      <c r="J639" s="683"/>
      <c r="K639" s="683"/>
      <c r="L639" s="685"/>
      <c r="M639" s="685"/>
      <c r="N639" s="685"/>
      <c r="O639" s="685"/>
      <c r="P639" s="685"/>
      <c r="Q639" s="685"/>
      <c r="R639" s="685"/>
      <c r="S639" s="685"/>
      <c r="T639" s="685"/>
      <c r="U639" s="685"/>
      <c r="V639" s="686"/>
      <c r="W639" s="685"/>
      <c r="X639" s="685"/>
      <c r="Y639" s="687"/>
    </row>
    <row r="640" spans="1:25" ht="24.75" customHeight="1">
      <c r="A640" s="50"/>
      <c r="B640" s="724"/>
      <c r="C640" s="54"/>
      <c r="D640" s="52"/>
      <c r="E640" s="351">
        <v>77</v>
      </c>
      <c r="F640" s="108" t="s">
        <v>758</v>
      </c>
      <c r="G640" s="109"/>
      <c r="H640" s="109"/>
      <c r="I640" s="110"/>
      <c r="J640" s="109"/>
      <c r="K640" s="109"/>
      <c r="L640" s="111"/>
      <c r="M640" s="111"/>
      <c r="N640" s="111"/>
      <c r="O640" s="111"/>
      <c r="P640" s="111"/>
      <c r="Q640" s="111"/>
      <c r="R640" s="111"/>
      <c r="S640" s="111"/>
      <c r="T640" s="111"/>
      <c r="U640" s="111"/>
      <c r="V640" s="112"/>
      <c r="W640" s="111"/>
      <c r="X640" s="111"/>
      <c r="Y640" s="529"/>
    </row>
    <row r="641" spans="1:25" ht="54" customHeight="1">
      <c r="A641" s="50"/>
      <c r="B641" s="725"/>
      <c r="C641" s="54">
        <v>11</v>
      </c>
      <c r="D641" s="202" t="s">
        <v>759</v>
      </c>
      <c r="E641" s="150"/>
      <c r="F641" s="54">
        <v>223</v>
      </c>
      <c r="G641" s="52" t="s">
        <v>760</v>
      </c>
      <c r="H641" s="341" t="s">
        <v>146</v>
      </c>
      <c r="I641" s="1132" t="s">
        <v>761</v>
      </c>
      <c r="J641" s="1077" t="s">
        <v>762</v>
      </c>
      <c r="K641" s="54" t="s">
        <v>30</v>
      </c>
      <c r="L641" s="57"/>
      <c r="M641" s="57"/>
      <c r="N641" s="57"/>
      <c r="O641" s="57"/>
      <c r="P641" s="57"/>
      <c r="Q641" s="57"/>
      <c r="R641" s="57"/>
      <c r="S641" s="57"/>
      <c r="T641" s="57"/>
      <c r="U641" s="57"/>
      <c r="V641" s="241"/>
      <c r="W641" s="241">
        <v>87000000</v>
      </c>
      <c r="X641" s="60"/>
      <c r="Y641" s="61">
        <f t="shared" ref="Y641:Y642" si="277">+L641+M641+N641+O641+P641+Q641+R641+S641+T641+U641+V641+W641+X641</f>
        <v>87000000</v>
      </c>
    </row>
    <row r="642" spans="1:25" ht="45.75" customHeight="1">
      <c r="A642" s="50"/>
      <c r="B642" s="725"/>
      <c r="C642" s="54">
        <v>11</v>
      </c>
      <c r="D642" s="202" t="s">
        <v>759</v>
      </c>
      <c r="E642" s="370"/>
      <c r="F642" s="54">
        <v>224</v>
      </c>
      <c r="G642" s="52" t="s">
        <v>763</v>
      </c>
      <c r="H642" s="341" t="s">
        <v>146</v>
      </c>
      <c r="I642" s="1136"/>
      <c r="J642" s="1064"/>
      <c r="K642" s="54" t="s">
        <v>30</v>
      </c>
      <c r="L642" s="57"/>
      <c r="M642" s="57"/>
      <c r="N642" s="57"/>
      <c r="O642" s="57"/>
      <c r="P642" s="57"/>
      <c r="Q642" s="57"/>
      <c r="R642" s="57"/>
      <c r="S642" s="57"/>
      <c r="T642" s="57"/>
      <c r="U642" s="57"/>
      <c r="V642" s="241"/>
      <c r="W642" s="241">
        <v>20000000</v>
      </c>
      <c r="X642" s="60"/>
      <c r="Y642" s="61">
        <f t="shared" si="277"/>
        <v>20000000</v>
      </c>
    </row>
    <row r="643" spans="1:25" ht="21.75" customHeight="1">
      <c r="A643" s="50"/>
      <c r="B643" s="682"/>
      <c r="C643" s="54"/>
      <c r="D643" s="52"/>
      <c r="E643" s="452"/>
      <c r="F643" s="65"/>
      <c r="G643" s="64"/>
      <c r="H643" s="66"/>
      <c r="I643" s="67"/>
      <c r="J643" s="64"/>
      <c r="K643" s="65"/>
      <c r="L643" s="68"/>
      <c r="M643" s="68"/>
      <c r="N643" s="68"/>
      <c r="O643" s="68"/>
      <c r="P643" s="68"/>
      <c r="Q643" s="68"/>
      <c r="R643" s="68"/>
      <c r="S643" s="68"/>
      <c r="T643" s="68"/>
      <c r="U643" s="68"/>
      <c r="V643" s="68">
        <f>SUM(V641:V642)</f>
        <v>0</v>
      </c>
      <c r="W643" s="68">
        <f>SUM(W641:W642)</f>
        <v>107000000</v>
      </c>
      <c r="X643" s="68"/>
      <c r="Y643" s="68">
        <f>SUM(Y641:Y642)</f>
        <v>107000000</v>
      </c>
    </row>
    <row r="644" spans="1:25" ht="21.75" customHeight="1">
      <c r="A644" s="63"/>
      <c r="B644" s="726"/>
      <c r="C644" s="727"/>
      <c r="D644" s="726"/>
      <c r="E644" s="728"/>
      <c r="F644" s="727"/>
      <c r="G644" s="726"/>
      <c r="H644" s="729"/>
      <c r="I644" s="730"/>
      <c r="J644" s="726"/>
      <c r="K644" s="727"/>
      <c r="L644" s="731"/>
      <c r="M644" s="731"/>
      <c r="N644" s="731"/>
      <c r="O644" s="731"/>
      <c r="P644" s="731"/>
      <c r="Q644" s="731"/>
      <c r="R644" s="731"/>
      <c r="S644" s="731"/>
      <c r="T644" s="731"/>
      <c r="U644" s="731"/>
      <c r="V644" s="731">
        <f t="shared" ref="V644:W646" si="278">+V643</f>
        <v>0</v>
      </c>
      <c r="W644" s="731">
        <f t="shared" si="278"/>
        <v>107000000</v>
      </c>
      <c r="X644" s="731"/>
      <c r="Y644" s="731">
        <f t="shared" ref="Y644:Y646" si="279">Y643</f>
        <v>107000000</v>
      </c>
    </row>
    <row r="645" spans="1:25" ht="21.75" customHeight="1">
      <c r="A645" s="75"/>
      <c r="B645" s="75"/>
      <c r="C645" s="76"/>
      <c r="D645" s="75"/>
      <c r="E645" s="255"/>
      <c r="F645" s="76"/>
      <c r="G645" s="75"/>
      <c r="H645" s="77"/>
      <c r="I645" s="78"/>
      <c r="J645" s="75"/>
      <c r="K645" s="76"/>
      <c r="L645" s="79"/>
      <c r="M645" s="79"/>
      <c r="N645" s="79"/>
      <c r="O645" s="79"/>
      <c r="P645" s="79"/>
      <c r="Q645" s="79"/>
      <c r="R645" s="79"/>
      <c r="S645" s="79"/>
      <c r="T645" s="79"/>
      <c r="U645" s="79"/>
      <c r="V645" s="79">
        <f t="shared" si="278"/>
        <v>0</v>
      </c>
      <c r="W645" s="79">
        <f t="shared" si="278"/>
        <v>107000000</v>
      </c>
      <c r="X645" s="79"/>
      <c r="Y645" s="79">
        <f t="shared" si="279"/>
        <v>107000000</v>
      </c>
    </row>
    <row r="646" spans="1:25" ht="21.75" customHeight="1">
      <c r="A646" s="80"/>
      <c r="B646" s="80"/>
      <c r="C646" s="81"/>
      <c r="D646" s="80"/>
      <c r="E646" s="713"/>
      <c r="F646" s="81"/>
      <c r="G646" s="80"/>
      <c r="H646" s="82"/>
      <c r="I646" s="83"/>
      <c r="J646" s="80"/>
      <c r="K646" s="81"/>
      <c r="L646" s="84"/>
      <c r="M646" s="84"/>
      <c r="N646" s="84"/>
      <c r="O646" s="84"/>
      <c r="P646" s="84"/>
      <c r="Q646" s="84"/>
      <c r="R646" s="84"/>
      <c r="S646" s="84"/>
      <c r="T646" s="84"/>
      <c r="U646" s="84"/>
      <c r="V646" s="84">
        <f t="shared" si="278"/>
        <v>0</v>
      </c>
      <c r="W646" s="84">
        <f t="shared" si="278"/>
        <v>107000000</v>
      </c>
      <c r="X646" s="84"/>
      <c r="Y646" s="84">
        <f t="shared" si="279"/>
        <v>107000000</v>
      </c>
    </row>
    <row r="647" spans="1:25" s="29" customFormat="1" ht="29.25" customHeight="1">
      <c r="A647" s="1148" t="s">
        <v>764</v>
      </c>
      <c r="B647" s="1149"/>
      <c r="C647" s="1149"/>
      <c r="D647" s="1149"/>
      <c r="E647" s="1150"/>
      <c r="F647" s="620"/>
      <c r="G647" s="620"/>
      <c r="H647" s="620"/>
      <c r="I647" s="620"/>
      <c r="J647" s="620"/>
      <c r="K647" s="620"/>
      <c r="L647" s="620">
        <f t="shared" ref="L647:Y647" si="280">+L646+L635+L618</f>
        <v>1241900115</v>
      </c>
      <c r="M647" s="620">
        <f t="shared" si="280"/>
        <v>0</v>
      </c>
      <c r="N647" s="620">
        <f t="shared" si="280"/>
        <v>0</v>
      </c>
      <c r="O647" s="620">
        <f t="shared" si="280"/>
        <v>0</v>
      </c>
      <c r="P647" s="620">
        <f t="shared" si="280"/>
        <v>0</v>
      </c>
      <c r="Q647" s="620">
        <f t="shared" si="280"/>
        <v>0</v>
      </c>
      <c r="R647" s="620">
        <f t="shared" si="280"/>
        <v>0</v>
      </c>
      <c r="S647" s="620">
        <f t="shared" si="280"/>
        <v>0</v>
      </c>
      <c r="T647" s="620">
        <f t="shared" si="280"/>
        <v>0</v>
      </c>
      <c r="U647" s="620">
        <f t="shared" si="280"/>
        <v>0</v>
      </c>
      <c r="V647" s="620">
        <f t="shared" si="280"/>
        <v>821316151</v>
      </c>
      <c r="W647" s="620">
        <f t="shared" si="280"/>
        <v>1742289320</v>
      </c>
      <c r="X647" s="620">
        <f t="shared" si="280"/>
        <v>0</v>
      </c>
      <c r="Y647" s="620">
        <f t="shared" si="280"/>
        <v>3805505586</v>
      </c>
    </row>
    <row r="648" spans="1:25" s="738" customFormat="1" ht="36" customHeight="1">
      <c r="A648" s="1142" t="s">
        <v>765</v>
      </c>
      <c r="B648" s="1143"/>
      <c r="C648" s="1143"/>
      <c r="D648" s="1143"/>
      <c r="E648" s="1143"/>
      <c r="F648" s="1143"/>
      <c r="G648" s="732"/>
      <c r="H648" s="733"/>
      <c r="I648" s="734"/>
      <c r="J648" s="735"/>
      <c r="K648" s="736"/>
      <c r="L648" s="737">
        <f t="shared" ref="L648:X648" si="281">+L575+L647</f>
        <v>12025668480</v>
      </c>
      <c r="M648" s="737">
        <f t="shared" si="281"/>
        <v>1760000000</v>
      </c>
      <c r="N648" s="737">
        <f t="shared" si="281"/>
        <v>1158478847</v>
      </c>
      <c r="O648" s="737">
        <f t="shared" si="281"/>
        <v>2599543380</v>
      </c>
      <c r="P648" s="737">
        <f t="shared" si="281"/>
        <v>13895526704</v>
      </c>
      <c r="Q648" s="737">
        <f t="shared" si="281"/>
        <v>25910485823</v>
      </c>
      <c r="R648" s="737">
        <f t="shared" si="281"/>
        <v>134430000000</v>
      </c>
      <c r="S648" s="737">
        <f t="shared" si="281"/>
        <v>23500000000</v>
      </c>
      <c r="T648" s="737">
        <f t="shared" si="281"/>
        <v>12150000000</v>
      </c>
      <c r="U648" s="737">
        <f t="shared" si="281"/>
        <v>2673200000</v>
      </c>
      <c r="V648" s="737">
        <f t="shared" si="281"/>
        <v>21982883645</v>
      </c>
      <c r="W648" s="737">
        <f t="shared" si="281"/>
        <v>2506369320</v>
      </c>
      <c r="X648" s="737">
        <f t="shared" si="281"/>
        <v>2219046767</v>
      </c>
      <c r="Y648" s="737">
        <f>+Y575+Y647</f>
        <v>256811202966</v>
      </c>
    </row>
    <row r="649" spans="1:25" s="747" customFormat="1" ht="33" customHeight="1">
      <c r="A649" s="739"/>
      <c r="B649" s="739"/>
      <c r="C649" s="740"/>
      <c r="D649" s="739"/>
      <c r="E649" s="739"/>
      <c r="F649" s="741"/>
      <c r="G649" s="739"/>
      <c r="H649" s="739"/>
      <c r="I649" s="742"/>
      <c r="J649" s="739"/>
      <c r="K649" s="740"/>
      <c r="L649" s="743"/>
      <c r="M649" s="743"/>
      <c r="N649" s="743"/>
      <c r="O649" s="743"/>
      <c r="P649" s="743"/>
      <c r="Q649" s="743"/>
      <c r="R649" s="743"/>
      <c r="S649" s="743"/>
      <c r="T649" s="743"/>
      <c r="U649" s="743"/>
      <c r="V649" s="744"/>
      <c r="W649" s="743"/>
      <c r="X649" s="745"/>
      <c r="Y649" s="746"/>
    </row>
    <row r="650" spans="1:25" s="754" customFormat="1" ht="30.75" customHeight="1">
      <c r="A650" s="748"/>
      <c r="B650" s="748"/>
      <c r="C650" s="749"/>
      <c r="D650" s="748"/>
      <c r="E650" s="748"/>
      <c r="F650" s="749"/>
      <c r="G650" s="748"/>
      <c r="H650" s="748"/>
      <c r="I650" s="750"/>
      <c r="J650" s="748"/>
      <c r="K650" s="749"/>
      <c r="L650" s="751"/>
      <c r="M650" s="751"/>
      <c r="N650" s="751"/>
      <c r="O650" s="751"/>
      <c r="P650" s="751"/>
      <c r="Q650" s="751"/>
      <c r="R650" s="751"/>
      <c r="S650" s="751"/>
      <c r="T650" s="751"/>
      <c r="U650" s="751"/>
      <c r="V650" s="752"/>
      <c r="W650" s="751"/>
      <c r="X650" s="753"/>
      <c r="Y650" s="753"/>
    </row>
    <row r="651" spans="1:25" ht="38.25" customHeight="1">
      <c r="A651" s="755"/>
      <c r="B651" s="755"/>
      <c r="C651" s="756"/>
      <c r="D651" s="755"/>
      <c r="E651" s="755"/>
      <c r="F651" s="756"/>
      <c r="G651" s="755"/>
      <c r="H651" s="755"/>
      <c r="I651" s="757"/>
      <c r="J651" s="755"/>
      <c r="K651" s="756"/>
      <c r="L651" s="758"/>
      <c r="M651" s="758"/>
      <c r="N651" s="758"/>
      <c r="O651" s="758"/>
      <c r="P651" s="758"/>
      <c r="Q651" s="759"/>
      <c r="T651" s="758"/>
      <c r="U651" s="758"/>
      <c r="V651" s="760"/>
      <c r="W651" s="758"/>
      <c r="X651" s="758"/>
      <c r="Y651" s="761"/>
    </row>
    <row r="652" spans="1:25">
      <c r="A652" s="755"/>
      <c r="B652" s="755"/>
      <c r="C652" s="756"/>
      <c r="D652" s="755"/>
      <c r="E652" s="755"/>
      <c r="F652" s="756"/>
      <c r="G652" s="755"/>
      <c r="H652" s="755"/>
      <c r="I652" s="757"/>
      <c r="J652" s="755"/>
      <c r="K652" s="756"/>
      <c r="L652" s="758"/>
      <c r="M652" s="758"/>
      <c r="N652" s="758"/>
      <c r="O652" s="758"/>
      <c r="P652" s="758"/>
      <c r="Q652" s="762"/>
      <c r="T652" s="758"/>
      <c r="U652" s="758"/>
      <c r="V652" s="760"/>
      <c r="W652" s="758"/>
      <c r="X652" s="758"/>
      <c r="Y652" s="751"/>
    </row>
    <row r="653" spans="1:25">
      <c r="A653" s="755"/>
      <c r="B653" s="755"/>
      <c r="C653" s="756"/>
      <c r="D653" s="755"/>
      <c r="E653" s="755"/>
      <c r="F653" s="756"/>
      <c r="G653" s="755"/>
      <c r="H653" s="755"/>
      <c r="I653" s="757"/>
      <c r="J653" s="755"/>
      <c r="K653" s="756"/>
      <c r="L653" s="758"/>
      <c r="M653" s="758"/>
      <c r="N653" s="758"/>
      <c r="O653" s="758"/>
      <c r="P653" s="758"/>
      <c r="Q653" s="758"/>
      <c r="T653" s="758"/>
      <c r="U653" s="758"/>
      <c r="V653" s="760"/>
      <c r="W653" s="758"/>
      <c r="X653" s="758"/>
      <c r="Y653" s="763"/>
    </row>
    <row r="654" spans="1:25" ht="30.75" customHeight="1">
      <c r="A654" s="755"/>
      <c r="B654" s="755"/>
      <c r="C654" s="756"/>
      <c r="D654" s="755"/>
      <c r="E654" s="755"/>
      <c r="F654" s="756"/>
      <c r="G654" s="755"/>
      <c r="H654" s="755"/>
      <c r="I654" s="757"/>
      <c r="J654" s="755"/>
      <c r="K654" s="756"/>
      <c r="L654" s="758"/>
      <c r="M654" s="758"/>
      <c r="N654" s="758"/>
      <c r="O654" s="758"/>
      <c r="P654" s="758"/>
      <c r="Q654" s="764"/>
      <c r="T654" s="758"/>
      <c r="U654" s="758"/>
      <c r="V654" s="765"/>
      <c r="W654" s="758"/>
      <c r="X654" s="758"/>
    </row>
    <row r="655" spans="1:25">
      <c r="A655" s="755"/>
      <c r="B655" s="755"/>
      <c r="C655" s="756"/>
      <c r="D655" s="755"/>
      <c r="E655" s="755"/>
      <c r="F655" s="756"/>
      <c r="G655" s="755"/>
      <c r="H655" s="755"/>
      <c r="I655" s="757"/>
      <c r="J655" s="755"/>
      <c r="K655" s="756"/>
      <c r="L655" s="758"/>
      <c r="M655" s="758"/>
      <c r="N655" s="758"/>
      <c r="O655" s="758"/>
      <c r="P655" s="758"/>
      <c r="Q655" s="758"/>
      <c r="T655" s="758"/>
      <c r="U655" s="758"/>
      <c r="V655" s="760"/>
      <c r="W655" s="758"/>
      <c r="X655" s="758"/>
    </row>
    <row r="656" spans="1:25">
      <c r="A656" s="755"/>
      <c r="B656" s="755"/>
      <c r="C656" s="756"/>
      <c r="D656" s="755"/>
      <c r="E656" s="755"/>
      <c r="F656" s="756"/>
      <c r="G656" s="755"/>
      <c r="H656" s="755"/>
      <c r="I656" s="757"/>
      <c r="J656" s="755"/>
      <c r="K656" s="756"/>
      <c r="L656" s="758"/>
      <c r="M656" s="758"/>
      <c r="N656" s="758"/>
      <c r="O656" s="758"/>
      <c r="P656" s="758"/>
      <c r="Q656" s="758"/>
      <c r="T656" s="758"/>
      <c r="U656" s="758"/>
      <c r="V656" s="760"/>
      <c r="W656" s="758"/>
      <c r="X656" s="758"/>
    </row>
    <row r="657" spans="1:24">
      <c r="A657" s="755"/>
      <c r="B657" s="755"/>
      <c r="C657" s="756"/>
      <c r="D657" s="755"/>
      <c r="E657" s="755"/>
      <c r="F657" s="756"/>
      <c r="G657" s="755"/>
      <c r="H657" s="755"/>
      <c r="I657" s="757"/>
      <c r="J657" s="755"/>
      <c r="K657" s="756"/>
      <c r="L657" s="758"/>
      <c r="M657" s="758"/>
      <c r="N657" s="758"/>
      <c r="O657" s="758"/>
      <c r="P657" s="758"/>
      <c r="Q657" s="758"/>
      <c r="T657" s="758"/>
      <c r="U657" s="758"/>
      <c r="V657" s="760"/>
      <c r="W657" s="758"/>
      <c r="X657" s="758"/>
    </row>
    <row r="658" spans="1:24">
      <c r="A658" s="755"/>
      <c r="B658" s="755"/>
      <c r="C658" s="756"/>
      <c r="D658" s="755"/>
      <c r="E658" s="755"/>
      <c r="F658" s="756"/>
      <c r="G658" s="755"/>
      <c r="H658" s="755"/>
      <c r="I658" s="757"/>
      <c r="J658" s="755"/>
      <c r="K658" s="756"/>
      <c r="L658" s="758"/>
      <c r="M658" s="758"/>
      <c r="N658" s="758"/>
      <c r="O658" s="758"/>
      <c r="P658" s="758"/>
      <c r="Q658" s="758"/>
      <c r="T658" s="758"/>
      <c r="U658" s="758"/>
      <c r="V658" s="760"/>
      <c r="W658" s="758"/>
      <c r="X658" s="758"/>
    </row>
    <row r="659" spans="1:24">
      <c r="A659" s="755"/>
      <c r="B659" s="755"/>
      <c r="C659" s="756"/>
      <c r="D659" s="755"/>
      <c r="E659" s="755"/>
      <c r="F659" s="756"/>
      <c r="G659" s="755"/>
      <c r="H659" s="755"/>
      <c r="I659" s="757"/>
      <c r="J659" s="755"/>
      <c r="K659" s="756"/>
      <c r="L659" s="758"/>
      <c r="M659" s="758"/>
      <c r="N659" s="758"/>
      <c r="O659" s="758"/>
      <c r="P659" s="758"/>
      <c r="Q659" s="758"/>
      <c r="T659" s="758"/>
      <c r="U659" s="758"/>
      <c r="V659" s="760"/>
      <c r="W659" s="758"/>
      <c r="X659" s="758"/>
    </row>
    <row r="660" spans="1:24">
      <c r="A660" s="755"/>
      <c r="B660" s="755"/>
      <c r="C660" s="756"/>
      <c r="D660" s="755"/>
      <c r="E660" s="755"/>
      <c r="F660" s="756"/>
      <c r="G660" s="755"/>
      <c r="H660" s="755"/>
      <c r="I660" s="757"/>
      <c r="J660" s="755"/>
      <c r="K660" s="756"/>
      <c r="L660" s="758"/>
      <c r="M660" s="758"/>
      <c r="N660" s="758"/>
      <c r="O660" s="758"/>
      <c r="P660" s="758"/>
      <c r="Q660" s="758"/>
      <c r="T660" s="758"/>
      <c r="U660" s="758"/>
      <c r="V660" s="760"/>
      <c r="W660" s="758"/>
      <c r="X660" s="758"/>
    </row>
    <row r="661" spans="1:24">
      <c r="A661" s="755"/>
      <c r="B661" s="755"/>
      <c r="C661" s="756"/>
      <c r="D661" s="755"/>
      <c r="E661" s="755"/>
      <c r="F661" s="756"/>
      <c r="G661" s="755"/>
      <c r="H661" s="755"/>
      <c r="I661" s="757"/>
      <c r="J661" s="755"/>
      <c r="K661" s="756"/>
      <c r="L661" s="758"/>
      <c r="M661" s="758"/>
      <c r="N661" s="758"/>
      <c r="O661" s="758"/>
      <c r="P661" s="758"/>
      <c r="Q661" s="758"/>
      <c r="T661" s="758"/>
      <c r="U661" s="758"/>
      <c r="V661" s="760"/>
      <c r="W661" s="758"/>
      <c r="X661" s="758"/>
    </row>
    <row r="662" spans="1:24">
      <c r="A662" s="755"/>
      <c r="B662" s="755"/>
      <c r="C662" s="756"/>
      <c r="D662" s="755"/>
      <c r="E662" s="755"/>
      <c r="F662" s="756"/>
      <c r="G662" s="755"/>
      <c r="H662" s="755"/>
      <c r="I662" s="757"/>
      <c r="J662" s="755"/>
      <c r="K662" s="756"/>
      <c r="L662" s="758"/>
      <c r="M662" s="758"/>
      <c r="N662" s="758"/>
      <c r="O662" s="758"/>
      <c r="P662" s="758"/>
      <c r="Q662" s="758"/>
      <c r="T662" s="758"/>
      <c r="U662" s="758"/>
      <c r="V662" s="760"/>
      <c r="W662" s="758"/>
      <c r="X662" s="758"/>
    </row>
    <row r="663" spans="1:24">
      <c r="A663" s="755"/>
      <c r="B663" s="755"/>
      <c r="C663" s="756"/>
      <c r="D663" s="755"/>
      <c r="E663" s="755"/>
      <c r="F663" s="756"/>
      <c r="G663" s="755"/>
      <c r="H663" s="755"/>
      <c r="I663" s="757"/>
      <c r="J663" s="755"/>
      <c r="K663" s="756"/>
      <c r="L663" s="758"/>
      <c r="M663" s="758"/>
      <c r="N663" s="758"/>
      <c r="O663" s="758"/>
      <c r="P663" s="758"/>
      <c r="Q663" s="758"/>
      <c r="T663" s="758"/>
      <c r="U663" s="758"/>
      <c r="V663" s="760"/>
      <c r="W663" s="758"/>
      <c r="X663" s="758"/>
    </row>
    <row r="664" spans="1:24">
      <c r="A664" s="755"/>
      <c r="B664" s="755"/>
      <c r="C664" s="756"/>
      <c r="D664" s="755"/>
      <c r="E664" s="755"/>
      <c r="F664" s="756"/>
      <c r="G664" s="755"/>
      <c r="H664" s="755"/>
      <c r="I664" s="757"/>
      <c r="J664" s="755"/>
      <c r="K664" s="756"/>
      <c r="L664" s="758"/>
      <c r="M664" s="758"/>
      <c r="N664" s="758"/>
      <c r="O664" s="758"/>
      <c r="P664" s="758"/>
      <c r="Q664" s="758"/>
      <c r="T664" s="758"/>
      <c r="U664" s="758"/>
      <c r="V664" s="760"/>
      <c r="W664" s="758"/>
      <c r="X664" s="758"/>
    </row>
    <row r="665" spans="1:24">
      <c r="A665" s="755"/>
      <c r="B665" s="755"/>
      <c r="C665" s="756"/>
      <c r="D665" s="755"/>
      <c r="E665" s="755"/>
      <c r="F665" s="756"/>
      <c r="G665" s="755"/>
      <c r="H665" s="755"/>
      <c r="I665" s="757"/>
      <c r="J665" s="755"/>
      <c r="K665" s="756"/>
      <c r="L665" s="758"/>
      <c r="M665" s="758"/>
      <c r="N665" s="758"/>
      <c r="O665" s="758"/>
      <c r="P665" s="758"/>
      <c r="Q665" s="758"/>
      <c r="T665" s="758"/>
      <c r="U665" s="758"/>
      <c r="V665" s="760"/>
      <c r="W665" s="758"/>
      <c r="X665" s="758"/>
    </row>
    <row r="666" spans="1:24">
      <c r="A666" s="755"/>
      <c r="B666" s="755"/>
      <c r="C666" s="756"/>
      <c r="D666" s="755"/>
      <c r="E666" s="755"/>
      <c r="F666" s="756"/>
      <c r="G666" s="755"/>
      <c r="H666" s="755"/>
      <c r="I666" s="757"/>
      <c r="J666" s="755"/>
      <c r="K666" s="756"/>
      <c r="L666" s="758"/>
      <c r="M666" s="758"/>
      <c r="N666" s="758"/>
      <c r="O666" s="758"/>
      <c r="P666" s="758"/>
      <c r="Q666" s="758"/>
      <c r="T666" s="758"/>
      <c r="U666" s="758"/>
      <c r="V666" s="760"/>
      <c r="W666" s="758"/>
      <c r="X666" s="758"/>
    </row>
    <row r="667" spans="1:24">
      <c r="A667" s="755"/>
      <c r="B667" s="755"/>
      <c r="C667" s="756"/>
      <c r="D667" s="755"/>
      <c r="E667" s="755"/>
      <c r="F667" s="756"/>
      <c r="G667" s="755"/>
      <c r="H667" s="755"/>
      <c r="I667" s="757"/>
      <c r="J667" s="755"/>
      <c r="K667" s="756"/>
      <c r="L667" s="758"/>
      <c r="M667" s="758"/>
      <c r="N667" s="758"/>
      <c r="O667" s="758"/>
      <c r="P667" s="758"/>
      <c r="Q667" s="758"/>
      <c r="T667" s="758"/>
      <c r="U667" s="758"/>
      <c r="V667" s="760"/>
      <c r="W667" s="758"/>
      <c r="X667" s="758"/>
    </row>
    <row r="668" spans="1:24">
      <c r="A668" s="755"/>
      <c r="B668" s="755"/>
      <c r="C668" s="756"/>
      <c r="D668" s="755"/>
      <c r="E668" s="755"/>
      <c r="F668" s="756"/>
      <c r="G668" s="755"/>
      <c r="H668" s="755"/>
      <c r="I668" s="757"/>
      <c r="J668" s="755"/>
      <c r="K668" s="756"/>
      <c r="L668" s="758"/>
      <c r="M668" s="758"/>
      <c r="N668" s="758"/>
      <c r="O668" s="758"/>
      <c r="P668" s="758"/>
      <c r="Q668" s="758"/>
      <c r="T668" s="758"/>
      <c r="U668" s="758"/>
      <c r="V668" s="760"/>
      <c r="W668" s="758"/>
      <c r="X668" s="758"/>
    </row>
    <row r="669" spans="1:24">
      <c r="A669" s="755"/>
      <c r="B669" s="755"/>
      <c r="C669" s="756"/>
      <c r="D669" s="755"/>
      <c r="E669" s="755"/>
      <c r="F669" s="756"/>
      <c r="G669" s="755"/>
      <c r="H669" s="755"/>
      <c r="I669" s="757"/>
      <c r="J669" s="755"/>
      <c r="K669" s="756"/>
      <c r="L669" s="758"/>
      <c r="M669" s="758"/>
      <c r="N669" s="758"/>
      <c r="O669" s="758"/>
      <c r="P669" s="758"/>
      <c r="Q669" s="758"/>
      <c r="T669" s="758"/>
      <c r="U669" s="758"/>
      <c r="V669" s="760"/>
      <c r="W669" s="758"/>
      <c r="X669" s="758"/>
    </row>
    <row r="670" spans="1:24">
      <c r="A670" s="755"/>
      <c r="B670" s="755"/>
      <c r="C670" s="756"/>
      <c r="D670" s="755"/>
      <c r="E670" s="755"/>
      <c r="F670" s="756"/>
      <c r="G670" s="755"/>
      <c r="H670" s="755"/>
      <c r="I670" s="757"/>
      <c r="J670" s="755"/>
      <c r="K670" s="756"/>
      <c r="L670" s="758"/>
      <c r="M670" s="758"/>
      <c r="N670" s="758"/>
      <c r="O670" s="758"/>
      <c r="P670" s="758"/>
      <c r="Q670" s="758"/>
      <c r="T670" s="758"/>
      <c r="U670" s="758"/>
      <c r="V670" s="760"/>
      <c r="W670" s="758"/>
      <c r="X670" s="758"/>
    </row>
    <row r="671" spans="1:24">
      <c r="A671" s="755"/>
      <c r="B671" s="755"/>
      <c r="C671" s="756"/>
      <c r="D671" s="755"/>
      <c r="E671" s="755"/>
      <c r="F671" s="756"/>
      <c r="G671" s="755"/>
      <c r="H671" s="755"/>
      <c r="I671" s="757"/>
      <c r="J671" s="755"/>
      <c r="K671" s="756"/>
      <c r="L671" s="758"/>
      <c r="M671" s="758"/>
      <c r="N671" s="758"/>
      <c r="O671" s="758"/>
      <c r="P671" s="758"/>
      <c r="Q671" s="758"/>
      <c r="T671" s="758"/>
      <c r="U671" s="758"/>
      <c r="V671" s="760"/>
      <c r="W671" s="758"/>
      <c r="X671" s="758"/>
    </row>
    <row r="672" spans="1:24">
      <c r="A672" s="755"/>
      <c r="B672" s="755"/>
      <c r="C672" s="756"/>
      <c r="D672" s="755"/>
      <c r="E672" s="755"/>
      <c r="F672" s="756"/>
      <c r="G672" s="755"/>
      <c r="H672" s="755"/>
      <c r="I672" s="757"/>
      <c r="J672" s="755"/>
      <c r="K672" s="756"/>
      <c r="L672" s="758"/>
      <c r="M672" s="758"/>
      <c r="N672" s="758"/>
      <c r="O672" s="758"/>
      <c r="P672" s="758"/>
      <c r="Q672" s="758"/>
      <c r="T672" s="758"/>
      <c r="U672" s="758"/>
      <c r="V672" s="760"/>
      <c r="W672" s="758"/>
      <c r="X672" s="758"/>
    </row>
    <row r="673" spans="1:24">
      <c r="A673" s="755"/>
      <c r="B673" s="755"/>
      <c r="C673" s="756"/>
      <c r="D673" s="755"/>
      <c r="E673" s="755"/>
      <c r="F673" s="756"/>
      <c r="G673" s="755"/>
      <c r="H673" s="755"/>
      <c r="I673" s="757"/>
      <c r="J673" s="755"/>
      <c r="K673" s="756"/>
      <c r="L673" s="758"/>
      <c r="M673" s="758"/>
      <c r="N673" s="758"/>
      <c r="O673" s="758"/>
      <c r="P673" s="758"/>
      <c r="Q673" s="758"/>
      <c r="T673" s="758"/>
      <c r="U673" s="758"/>
      <c r="V673" s="760"/>
      <c r="W673" s="758"/>
      <c r="X673" s="758"/>
    </row>
    <row r="674" spans="1:24">
      <c r="A674" s="755"/>
      <c r="B674" s="755"/>
      <c r="C674" s="756"/>
      <c r="D674" s="755"/>
      <c r="E674" s="755"/>
      <c r="F674" s="756"/>
      <c r="G674" s="755"/>
      <c r="H674" s="755"/>
      <c r="I674" s="757"/>
      <c r="J674" s="755"/>
      <c r="K674" s="756"/>
      <c r="L674" s="758"/>
      <c r="M674" s="758"/>
      <c r="N674" s="758"/>
      <c r="O674" s="758"/>
      <c r="P674" s="758"/>
      <c r="Q674" s="758"/>
      <c r="T674" s="758"/>
      <c r="U674" s="758"/>
      <c r="V674" s="760"/>
      <c r="W674" s="758"/>
      <c r="X674" s="758"/>
    </row>
    <row r="675" spans="1:24">
      <c r="A675" s="755"/>
      <c r="B675" s="755"/>
      <c r="C675" s="756"/>
      <c r="D675" s="755"/>
      <c r="E675" s="755"/>
      <c r="F675" s="756"/>
      <c r="G675" s="755"/>
      <c r="H675" s="755"/>
      <c r="I675" s="757"/>
      <c r="J675" s="755"/>
      <c r="K675" s="756"/>
      <c r="L675" s="758"/>
      <c r="M675" s="758"/>
      <c r="N675" s="758"/>
      <c r="O675" s="758"/>
      <c r="P675" s="758"/>
      <c r="Q675" s="758"/>
      <c r="T675" s="758"/>
      <c r="U675" s="758"/>
      <c r="V675" s="760"/>
      <c r="W675" s="758"/>
      <c r="X675" s="758"/>
    </row>
    <row r="676" spans="1:24">
      <c r="A676" s="755"/>
      <c r="B676" s="755"/>
      <c r="C676" s="756"/>
      <c r="D676" s="755"/>
      <c r="E676" s="755"/>
      <c r="F676" s="756"/>
      <c r="G676" s="755"/>
      <c r="H676" s="755"/>
      <c r="I676" s="757"/>
      <c r="J676" s="755"/>
      <c r="K676" s="756"/>
      <c r="L676" s="758"/>
      <c r="M676" s="758"/>
      <c r="N676" s="758"/>
      <c r="O676" s="758"/>
      <c r="P676" s="758"/>
      <c r="Q676" s="758"/>
      <c r="T676" s="758"/>
      <c r="U676" s="758"/>
      <c r="V676" s="760"/>
      <c r="W676" s="758"/>
      <c r="X676" s="758"/>
    </row>
    <row r="677" spans="1:24">
      <c r="A677" s="755"/>
      <c r="B677" s="755"/>
      <c r="C677" s="756"/>
      <c r="D677" s="755"/>
      <c r="E677" s="755"/>
      <c r="F677" s="756"/>
      <c r="G677" s="755"/>
      <c r="H677" s="755"/>
      <c r="I677" s="757"/>
      <c r="J677" s="755"/>
      <c r="K677" s="756"/>
      <c r="L677" s="758"/>
      <c r="M677" s="758"/>
      <c r="N677" s="758"/>
      <c r="O677" s="758"/>
      <c r="P677" s="758"/>
      <c r="Q677" s="758"/>
      <c r="T677" s="758"/>
      <c r="U677" s="758"/>
      <c r="V677" s="760"/>
      <c r="W677" s="758"/>
      <c r="X677" s="758"/>
    </row>
    <row r="678" spans="1:24">
      <c r="A678" s="755"/>
      <c r="B678" s="755"/>
      <c r="C678" s="756"/>
      <c r="D678" s="755"/>
      <c r="E678" s="755"/>
      <c r="F678" s="756"/>
      <c r="G678" s="755"/>
      <c r="H678" s="755"/>
      <c r="I678" s="757"/>
      <c r="J678" s="755"/>
      <c r="K678" s="756"/>
      <c r="L678" s="758"/>
      <c r="M678" s="758"/>
      <c r="N678" s="758"/>
      <c r="O678" s="758"/>
      <c r="P678" s="758"/>
      <c r="Q678" s="758"/>
      <c r="T678" s="758"/>
      <c r="U678" s="758"/>
      <c r="V678" s="760"/>
      <c r="W678" s="758"/>
      <c r="X678" s="758"/>
    </row>
    <row r="679" spans="1:24">
      <c r="A679" s="755"/>
      <c r="B679" s="755"/>
      <c r="C679" s="756"/>
      <c r="D679" s="755"/>
      <c r="E679" s="755"/>
      <c r="F679" s="756"/>
      <c r="G679" s="755"/>
      <c r="H679" s="755"/>
      <c r="I679" s="757"/>
      <c r="J679" s="755"/>
      <c r="K679" s="756"/>
      <c r="L679" s="758"/>
      <c r="M679" s="758"/>
      <c r="N679" s="758"/>
      <c r="O679" s="758"/>
      <c r="P679" s="758"/>
      <c r="Q679" s="758"/>
      <c r="T679" s="758"/>
      <c r="U679" s="758"/>
      <c r="V679" s="760"/>
      <c r="W679" s="758"/>
      <c r="X679" s="758"/>
    </row>
    <row r="680" spans="1:24">
      <c r="A680" s="755"/>
      <c r="B680" s="755"/>
      <c r="C680" s="756"/>
      <c r="D680" s="755"/>
      <c r="E680" s="755"/>
      <c r="F680" s="756"/>
      <c r="G680" s="755"/>
      <c r="H680" s="755"/>
      <c r="I680" s="757"/>
      <c r="J680" s="755"/>
      <c r="K680" s="756"/>
      <c r="L680" s="758"/>
      <c r="M680" s="758"/>
      <c r="N680" s="758"/>
      <c r="O680" s="758"/>
      <c r="P680" s="758"/>
      <c r="Q680" s="758"/>
      <c r="T680" s="758"/>
      <c r="U680" s="758"/>
      <c r="V680" s="760"/>
      <c r="W680" s="758"/>
      <c r="X680" s="758"/>
    </row>
    <row r="681" spans="1:24">
      <c r="A681" s="755"/>
      <c r="B681" s="755"/>
      <c r="C681" s="756"/>
      <c r="D681" s="755"/>
      <c r="E681" s="755"/>
      <c r="F681" s="756"/>
      <c r="G681" s="755"/>
      <c r="H681" s="755"/>
      <c r="I681" s="757"/>
      <c r="J681" s="755"/>
      <c r="K681" s="756"/>
      <c r="L681" s="758"/>
      <c r="M681" s="758"/>
      <c r="N681" s="758"/>
      <c r="O681" s="758"/>
      <c r="P681" s="758"/>
      <c r="Q681" s="758"/>
      <c r="T681" s="758"/>
      <c r="U681" s="758"/>
      <c r="V681" s="760"/>
      <c r="W681" s="758"/>
      <c r="X681" s="758"/>
    </row>
    <row r="682" spans="1:24">
      <c r="A682" s="755"/>
      <c r="B682" s="755"/>
      <c r="C682" s="756"/>
      <c r="D682" s="755"/>
      <c r="E682" s="755"/>
      <c r="F682" s="756"/>
      <c r="G682" s="755"/>
      <c r="H682" s="755"/>
      <c r="I682" s="757"/>
      <c r="J682" s="755"/>
      <c r="K682" s="756"/>
      <c r="L682" s="758"/>
      <c r="M682" s="758"/>
      <c r="N682" s="758"/>
      <c r="O682" s="758"/>
      <c r="P682" s="758"/>
      <c r="Q682" s="758"/>
      <c r="T682" s="758"/>
      <c r="U682" s="758"/>
      <c r="V682" s="760"/>
      <c r="W682" s="758"/>
      <c r="X682" s="758"/>
    </row>
    <row r="683" spans="1:24">
      <c r="A683" s="755"/>
      <c r="B683" s="755"/>
      <c r="C683" s="756"/>
      <c r="D683" s="755"/>
      <c r="E683" s="755"/>
      <c r="F683" s="756"/>
      <c r="G683" s="755"/>
      <c r="H683" s="755"/>
      <c r="I683" s="757"/>
      <c r="J683" s="755"/>
      <c r="K683" s="756"/>
      <c r="L683" s="758"/>
      <c r="M683" s="758"/>
      <c r="N683" s="758"/>
      <c r="O683" s="758"/>
      <c r="P683" s="758"/>
      <c r="Q683" s="758"/>
      <c r="T683" s="758"/>
      <c r="U683" s="758"/>
      <c r="V683" s="760"/>
      <c r="W683" s="758"/>
      <c r="X683" s="758"/>
    </row>
    <row r="684" spans="1:24">
      <c r="A684" s="755"/>
      <c r="B684" s="755"/>
      <c r="C684" s="756"/>
      <c r="D684" s="755"/>
      <c r="E684" s="755"/>
      <c r="F684" s="756"/>
      <c r="G684" s="755"/>
      <c r="H684" s="755"/>
      <c r="I684" s="757"/>
      <c r="J684" s="755"/>
      <c r="K684" s="756"/>
      <c r="L684" s="758"/>
      <c r="M684" s="758"/>
      <c r="N684" s="758"/>
      <c r="O684" s="758"/>
      <c r="P684" s="758"/>
      <c r="Q684" s="758"/>
      <c r="T684" s="758"/>
      <c r="U684" s="758"/>
      <c r="V684" s="760"/>
      <c r="W684" s="758"/>
      <c r="X684" s="758"/>
    </row>
    <row r="685" spans="1:24">
      <c r="A685" s="755"/>
      <c r="B685" s="755"/>
      <c r="C685" s="756"/>
      <c r="D685" s="755"/>
      <c r="E685" s="755"/>
      <c r="F685" s="756"/>
      <c r="G685" s="755"/>
      <c r="H685" s="755"/>
      <c r="I685" s="757"/>
      <c r="J685" s="755"/>
      <c r="K685" s="756"/>
      <c r="L685" s="758"/>
      <c r="M685" s="758"/>
      <c r="N685" s="758"/>
      <c r="O685" s="758"/>
      <c r="P685" s="758"/>
      <c r="Q685" s="758"/>
      <c r="T685" s="758"/>
      <c r="U685" s="758"/>
      <c r="V685" s="760"/>
      <c r="W685" s="758"/>
      <c r="X685" s="758"/>
    </row>
    <row r="686" spans="1:24">
      <c r="A686" s="755"/>
      <c r="B686" s="755"/>
      <c r="C686" s="756"/>
      <c r="D686" s="755"/>
      <c r="E686" s="755"/>
      <c r="F686" s="756"/>
      <c r="G686" s="755"/>
      <c r="H686" s="755"/>
      <c r="I686" s="757"/>
      <c r="J686" s="755"/>
      <c r="K686" s="756"/>
      <c r="L686" s="758"/>
      <c r="M686" s="758"/>
      <c r="N686" s="758"/>
      <c r="O686" s="758"/>
      <c r="P686" s="758"/>
      <c r="Q686" s="758"/>
      <c r="T686" s="758"/>
      <c r="U686" s="758"/>
      <c r="V686" s="760"/>
      <c r="W686" s="758"/>
      <c r="X686" s="758"/>
    </row>
    <row r="687" spans="1:24">
      <c r="A687" s="755"/>
      <c r="B687" s="755"/>
      <c r="C687" s="756"/>
      <c r="D687" s="755"/>
      <c r="E687" s="755"/>
      <c r="F687" s="756"/>
      <c r="G687" s="755"/>
      <c r="H687" s="755"/>
      <c r="I687" s="757"/>
      <c r="J687" s="755"/>
      <c r="K687" s="756"/>
      <c r="L687" s="758"/>
      <c r="M687" s="758"/>
      <c r="N687" s="758"/>
      <c r="O687" s="758"/>
      <c r="P687" s="758"/>
      <c r="Q687" s="758"/>
      <c r="T687" s="758"/>
      <c r="U687" s="758"/>
      <c r="V687" s="760"/>
      <c r="W687" s="758"/>
      <c r="X687" s="758"/>
    </row>
    <row r="688" spans="1:24">
      <c r="A688" s="755"/>
      <c r="B688" s="755"/>
      <c r="C688" s="756"/>
      <c r="D688" s="755"/>
      <c r="E688" s="755"/>
      <c r="F688" s="756"/>
      <c r="G688" s="755"/>
      <c r="H688" s="755"/>
      <c r="I688" s="757"/>
      <c r="J688" s="755"/>
      <c r="K688" s="756"/>
      <c r="L688" s="758"/>
      <c r="M688" s="758"/>
      <c r="N688" s="758"/>
      <c r="O688" s="758"/>
      <c r="P688" s="758"/>
      <c r="Q688" s="758"/>
      <c r="T688" s="758"/>
      <c r="U688" s="758"/>
      <c r="V688" s="760"/>
      <c r="W688" s="758"/>
      <c r="X688" s="758"/>
    </row>
    <row r="689" spans="1:24">
      <c r="A689" s="755"/>
      <c r="B689" s="755"/>
      <c r="C689" s="756"/>
      <c r="D689" s="755"/>
      <c r="E689" s="755"/>
      <c r="F689" s="756"/>
      <c r="G689" s="755"/>
      <c r="H689" s="755"/>
      <c r="I689" s="757"/>
      <c r="J689" s="755"/>
      <c r="K689" s="756"/>
      <c r="L689" s="758"/>
      <c r="M689" s="758"/>
      <c r="N689" s="758"/>
      <c r="O689" s="758"/>
      <c r="P689" s="758"/>
      <c r="Q689" s="758"/>
      <c r="T689" s="758"/>
      <c r="U689" s="758"/>
      <c r="V689" s="760"/>
      <c r="W689" s="758"/>
      <c r="X689" s="758"/>
    </row>
    <row r="690" spans="1:24">
      <c r="A690" s="755"/>
      <c r="B690" s="755"/>
      <c r="C690" s="756"/>
      <c r="D690" s="755"/>
      <c r="E690" s="755"/>
      <c r="F690" s="756"/>
      <c r="G690" s="755"/>
      <c r="H690" s="755"/>
      <c r="I690" s="757"/>
      <c r="J690" s="755"/>
      <c r="K690" s="756"/>
      <c r="L690" s="758"/>
      <c r="M690" s="758"/>
      <c r="N690" s="758"/>
      <c r="O690" s="758"/>
      <c r="P690" s="758"/>
      <c r="Q690" s="758"/>
      <c r="T690" s="758"/>
      <c r="U690" s="758"/>
      <c r="V690" s="760"/>
      <c r="W690" s="758"/>
      <c r="X690" s="758"/>
    </row>
    <row r="691" spans="1:24">
      <c r="A691" s="755"/>
      <c r="B691" s="755"/>
      <c r="C691" s="756"/>
      <c r="D691" s="755"/>
      <c r="E691" s="755"/>
      <c r="F691" s="756"/>
      <c r="G691" s="755"/>
      <c r="H691" s="755"/>
      <c r="I691" s="757"/>
      <c r="J691" s="755"/>
      <c r="K691" s="756"/>
      <c r="L691" s="758"/>
      <c r="M691" s="758"/>
      <c r="N691" s="758"/>
      <c r="O691" s="758"/>
      <c r="P691" s="758"/>
      <c r="Q691" s="758"/>
      <c r="T691" s="758"/>
      <c r="U691" s="758"/>
      <c r="V691" s="760"/>
      <c r="W691" s="758"/>
      <c r="X691" s="758"/>
    </row>
    <row r="692" spans="1:24">
      <c r="A692" s="755"/>
      <c r="B692" s="755"/>
      <c r="C692" s="756"/>
      <c r="D692" s="755"/>
      <c r="E692" s="755"/>
      <c r="F692" s="756"/>
      <c r="G692" s="755"/>
      <c r="H692" s="755"/>
      <c r="I692" s="757"/>
      <c r="J692" s="755"/>
      <c r="K692" s="756"/>
      <c r="L692" s="758"/>
      <c r="M692" s="758"/>
      <c r="N692" s="758"/>
      <c r="O692" s="758"/>
      <c r="P692" s="758"/>
      <c r="Q692" s="758"/>
      <c r="T692" s="758"/>
      <c r="U692" s="758"/>
      <c r="V692" s="760"/>
      <c r="W692" s="758"/>
      <c r="X692" s="758"/>
    </row>
    <row r="693" spans="1:24">
      <c r="A693" s="755"/>
      <c r="B693" s="755"/>
      <c r="C693" s="756"/>
      <c r="D693" s="755"/>
      <c r="E693" s="755"/>
      <c r="F693" s="756"/>
      <c r="G693" s="755"/>
      <c r="H693" s="755"/>
      <c r="I693" s="757"/>
      <c r="J693" s="755"/>
      <c r="K693" s="756"/>
      <c r="L693" s="758"/>
      <c r="M693" s="758"/>
      <c r="N693" s="758"/>
      <c r="O693" s="758"/>
      <c r="P693" s="758"/>
      <c r="Q693" s="758"/>
      <c r="T693" s="758"/>
      <c r="U693" s="758"/>
      <c r="V693" s="760"/>
      <c r="W693" s="758"/>
      <c r="X693" s="758"/>
    </row>
    <row r="694" spans="1:24">
      <c r="A694" s="755"/>
      <c r="B694" s="755"/>
      <c r="C694" s="756"/>
      <c r="D694" s="755"/>
      <c r="E694" s="755"/>
      <c r="F694" s="756"/>
      <c r="G694" s="755"/>
      <c r="H694" s="755"/>
      <c r="I694" s="757"/>
      <c r="J694" s="755"/>
      <c r="K694" s="756"/>
      <c r="L694" s="758"/>
      <c r="M694" s="758"/>
      <c r="N694" s="758"/>
      <c r="O694" s="758"/>
      <c r="P694" s="758"/>
      <c r="Q694" s="758"/>
      <c r="T694" s="758"/>
      <c r="U694" s="758"/>
      <c r="V694" s="760"/>
      <c r="W694" s="758"/>
      <c r="X694" s="758"/>
    </row>
    <row r="695" spans="1:24">
      <c r="A695" s="755"/>
      <c r="B695" s="755"/>
      <c r="C695" s="756"/>
      <c r="D695" s="755"/>
      <c r="E695" s="755"/>
      <c r="F695" s="756"/>
      <c r="G695" s="755"/>
      <c r="H695" s="755"/>
      <c r="I695" s="757"/>
      <c r="J695" s="755"/>
      <c r="K695" s="756"/>
      <c r="L695" s="758"/>
      <c r="M695" s="758"/>
      <c r="N695" s="758"/>
      <c r="O695" s="758"/>
      <c r="P695" s="758"/>
      <c r="Q695" s="758"/>
      <c r="T695" s="758"/>
      <c r="U695" s="758"/>
      <c r="V695" s="760"/>
      <c r="W695" s="758"/>
      <c r="X695" s="758"/>
    </row>
    <row r="696" spans="1:24">
      <c r="A696" s="755"/>
      <c r="B696" s="755"/>
      <c r="C696" s="756"/>
      <c r="D696" s="755"/>
      <c r="E696" s="755"/>
      <c r="F696" s="756"/>
      <c r="G696" s="755"/>
      <c r="H696" s="755"/>
      <c r="I696" s="757"/>
      <c r="J696" s="755"/>
      <c r="K696" s="756"/>
      <c r="L696" s="758"/>
      <c r="M696" s="758"/>
      <c r="N696" s="758"/>
      <c r="O696" s="758"/>
      <c r="P696" s="758"/>
      <c r="Q696" s="758"/>
      <c r="T696" s="758"/>
      <c r="U696" s="758"/>
      <c r="V696" s="760"/>
      <c r="W696" s="758"/>
      <c r="X696" s="758"/>
    </row>
    <row r="697" spans="1:24">
      <c r="A697" s="755"/>
      <c r="B697" s="755"/>
      <c r="C697" s="756"/>
      <c r="D697" s="755"/>
      <c r="E697" s="755"/>
      <c r="F697" s="756"/>
      <c r="G697" s="755"/>
      <c r="H697" s="755"/>
      <c r="I697" s="757"/>
      <c r="J697" s="755"/>
      <c r="K697" s="756"/>
      <c r="L697" s="758"/>
      <c r="M697" s="758"/>
      <c r="N697" s="758"/>
      <c r="O697" s="758"/>
      <c r="P697" s="758"/>
      <c r="Q697" s="758"/>
      <c r="T697" s="758"/>
      <c r="U697" s="758"/>
      <c r="V697" s="760"/>
      <c r="W697" s="758"/>
      <c r="X697" s="758"/>
    </row>
    <row r="698" spans="1:24">
      <c r="A698" s="755"/>
      <c r="B698" s="755"/>
      <c r="C698" s="756"/>
      <c r="D698" s="755"/>
      <c r="E698" s="755"/>
      <c r="F698" s="756"/>
      <c r="G698" s="755"/>
      <c r="H698" s="755"/>
      <c r="I698" s="757"/>
      <c r="J698" s="755"/>
      <c r="K698" s="756"/>
      <c r="L698" s="758"/>
      <c r="M698" s="758"/>
      <c r="N698" s="758"/>
      <c r="O698" s="758"/>
      <c r="P698" s="758"/>
      <c r="Q698" s="758"/>
      <c r="T698" s="758"/>
      <c r="U698" s="758"/>
      <c r="V698" s="760"/>
      <c r="W698" s="758"/>
      <c r="X698" s="758"/>
    </row>
    <row r="699" spans="1:24">
      <c r="A699" s="755"/>
      <c r="B699" s="755"/>
      <c r="C699" s="756"/>
      <c r="D699" s="755"/>
      <c r="E699" s="755"/>
      <c r="F699" s="756"/>
      <c r="G699" s="755"/>
      <c r="H699" s="755"/>
      <c r="I699" s="757"/>
      <c r="J699" s="755"/>
      <c r="K699" s="756"/>
      <c r="L699" s="758"/>
      <c r="M699" s="758"/>
      <c r="N699" s="758"/>
      <c r="O699" s="758"/>
      <c r="P699" s="758"/>
      <c r="Q699" s="758"/>
      <c r="T699" s="758"/>
      <c r="U699" s="758"/>
      <c r="V699" s="760"/>
      <c r="W699" s="758"/>
      <c r="X699" s="758"/>
    </row>
    <row r="700" spans="1:24">
      <c r="A700" s="755"/>
      <c r="B700" s="755"/>
      <c r="C700" s="756"/>
      <c r="D700" s="755"/>
      <c r="E700" s="755"/>
      <c r="F700" s="756"/>
      <c r="G700" s="755"/>
      <c r="H700" s="755"/>
      <c r="I700" s="757"/>
      <c r="J700" s="755"/>
      <c r="K700" s="756"/>
      <c r="L700" s="758"/>
      <c r="M700" s="758"/>
      <c r="N700" s="758"/>
      <c r="O700" s="758"/>
      <c r="P700" s="758"/>
      <c r="Q700" s="758"/>
      <c r="T700" s="758"/>
      <c r="U700" s="758"/>
      <c r="V700" s="760"/>
      <c r="W700" s="758"/>
      <c r="X700" s="758"/>
    </row>
    <row r="701" spans="1:24">
      <c r="A701" s="755"/>
      <c r="B701" s="755"/>
      <c r="C701" s="756"/>
      <c r="D701" s="755"/>
      <c r="E701" s="755"/>
      <c r="F701" s="756"/>
      <c r="G701" s="755"/>
      <c r="H701" s="755"/>
      <c r="I701" s="757"/>
      <c r="J701" s="755"/>
      <c r="K701" s="756"/>
      <c r="L701" s="758"/>
      <c r="M701" s="758"/>
      <c r="N701" s="758"/>
      <c r="O701" s="758"/>
      <c r="P701" s="758"/>
      <c r="Q701" s="758"/>
      <c r="T701" s="758"/>
      <c r="U701" s="758"/>
      <c r="V701" s="760"/>
      <c r="W701" s="758"/>
      <c r="X701" s="758"/>
    </row>
    <row r="702" spans="1:24">
      <c r="A702" s="755"/>
      <c r="B702" s="755"/>
      <c r="C702" s="756"/>
      <c r="D702" s="755"/>
      <c r="E702" s="755"/>
      <c r="F702" s="756"/>
      <c r="G702" s="755"/>
      <c r="H702" s="755"/>
      <c r="I702" s="757"/>
      <c r="J702" s="755"/>
      <c r="K702" s="756"/>
      <c r="L702" s="758"/>
      <c r="M702" s="758"/>
      <c r="N702" s="758"/>
      <c r="O702" s="758"/>
      <c r="P702" s="758"/>
      <c r="Q702" s="758"/>
      <c r="T702" s="758"/>
      <c r="U702" s="758"/>
      <c r="V702" s="760"/>
      <c r="W702" s="758"/>
      <c r="X702" s="758"/>
    </row>
    <row r="703" spans="1:24">
      <c r="A703" s="755"/>
      <c r="B703" s="755"/>
      <c r="C703" s="756"/>
      <c r="D703" s="755"/>
      <c r="E703" s="755"/>
      <c r="F703" s="756"/>
      <c r="G703" s="755"/>
      <c r="H703" s="755"/>
      <c r="I703" s="757"/>
      <c r="J703" s="755"/>
      <c r="K703" s="756"/>
      <c r="L703" s="758"/>
      <c r="M703" s="758"/>
      <c r="N703" s="758"/>
      <c r="O703" s="758"/>
      <c r="P703" s="758"/>
      <c r="Q703" s="758"/>
      <c r="T703" s="758"/>
      <c r="U703" s="758"/>
      <c r="V703" s="760"/>
      <c r="W703" s="758"/>
      <c r="X703" s="758"/>
    </row>
    <row r="704" spans="1:24">
      <c r="A704" s="755"/>
      <c r="B704" s="755"/>
      <c r="C704" s="756"/>
      <c r="D704" s="755"/>
      <c r="E704" s="755"/>
      <c r="F704" s="756"/>
      <c r="G704" s="755"/>
      <c r="H704" s="755"/>
      <c r="I704" s="757"/>
      <c r="J704" s="755"/>
      <c r="K704" s="756"/>
      <c r="L704" s="758"/>
      <c r="M704" s="758"/>
      <c r="N704" s="758"/>
      <c r="O704" s="758"/>
      <c r="P704" s="758"/>
      <c r="Q704" s="758"/>
      <c r="T704" s="758"/>
      <c r="U704" s="758"/>
      <c r="V704" s="760"/>
      <c r="W704" s="758"/>
      <c r="X704" s="758"/>
    </row>
    <row r="705" spans="1:24">
      <c r="A705" s="755"/>
      <c r="B705" s="755"/>
      <c r="C705" s="756"/>
      <c r="D705" s="755"/>
      <c r="E705" s="755"/>
      <c r="F705" s="756"/>
      <c r="G705" s="755"/>
      <c r="H705" s="755"/>
      <c r="I705" s="757"/>
      <c r="J705" s="755"/>
      <c r="K705" s="756"/>
      <c r="L705" s="758"/>
      <c r="M705" s="758"/>
      <c r="N705" s="758"/>
      <c r="O705" s="758"/>
      <c r="P705" s="758"/>
      <c r="Q705" s="758"/>
      <c r="T705" s="758"/>
      <c r="U705" s="758"/>
      <c r="V705" s="760"/>
      <c r="W705" s="758"/>
      <c r="X705" s="758"/>
    </row>
    <row r="706" spans="1:24">
      <c r="A706" s="755"/>
      <c r="B706" s="755"/>
      <c r="C706" s="756"/>
      <c r="D706" s="755"/>
      <c r="E706" s="755"/>
      <c r="F706" s="756"/>
      <c r="G706" s="755"/>
      <c r="H706" s="755"/>
      <c r="I706" s="757"/>
      <c r="J706" s="755"/>
      <c r="K706" s="756"/>
      <c r="L706" s="758"/>
      <c r="M706" s="758"/>
      <c r="N706" s="758"/>
      <c r="O706" s="758"/>
      <c r="P706" s="758"/>
      <c r="Q706" s="758"/>
      <c r="T706" s="758"/>
      <c r="U706" s="758"/>
      <c r="V706" s="760"/>
      <c r="W706" s="758"/>
      <c r="X706" s="758"/>
    </row>
    <row r="707" spans="1:24">
      <c r="A707" s="755"/>
      <c r="B707" s="755"/>
      <c r="C707" s="756"/>
      <c r="D707" s="755"/>
      <c r="E707" s="755"/>
      <c r="F707" s="756"/>
      <c r="G707" s="755"/>
      <c r="H707" s="755"/>
      <c r="I707" s="757"/>
      <c r="J707" s="755"/>
      <c r="K707" s="756"/>
      <c r="L707" s="758"/>
      <c r="M707" s="758"/>
      <c r="N707" s="758"/>
      <c r="O707" s="758"/>
      <c r="P707" s="758"/>
      <c r="Q707" s="758"/>
      <c r="T707" s="758"/>
      <c r="U707" s="758"/>
      <c r="V707" s="760"/>
      <c r="W707" s="758"/>
      <c r="X707" s="758"/>
    </row>
    <row r="708" spans="1:24">
      <c r="A708" s="755"/>
      <c r="B708" s="755"/>
      <c r="C708" s="756"/>
      <c r="D708" s="755"/>
      <c r="E708" s="755"/>
      <c r="F708" s="756"/>
      <c r="G708" s="755"/>
      <c r="H708" s="755"/>
      <c r="I708" s="757"/>
      <c r="J708" s="755"/>
      <c r="K708" s="756"/>
      <c r="L708" s="758"/>
      <c r="M708" s="758"/>
      <c r="N708" s="758"/>
      <c r="O708" s="758"/>
      <c r="P708" s="758"/>
      <c r="Q708" s="758"/>
      <c r="T708" s="758"/>
      <c r="U708" s="758"/>
      <c r="V708" s="760"/>
      <c r="W708" s="758"/>
      <c r="X708" s="758"/>
    </row>
    <row r="709" spans="1:24">
      <c r="A709" s="755"/>
      <c r="B709" s="755"/>
      <c r="C709" s="756"/>
      <c r="D709" s="755"/>
      <c r="E709" s="755"/>
      <c r="F709" s="756"/>
      <c r="G709" s="755"/>
      <c r="H709" s="755"/>
      <c r="I709" s="757"/>
      <c r="J709" s="755"/>
      <c r="K709" s="756"/>
      <c r="L709" s="758"/>
      <c r="M709" s="758"/>
      <c r="N709" s="758"/>
      <c r="O709" s="758"/>
      <c r="P709" s="758"/>
      <c r="Q709" s="758"/>
      <c r="T709" s="758"/>
      <c r="U709" s="758"/>
      <c r="V709" s="760"/>
      <c r="W709" s="758"/>
      <c r="X709" s="758"/>
    </row>
    <row r="710" spans="1:24">
      <c r="A710" s="755"/>
      <c r="B710" s="755"/>
      <c r="C710" s="756"/>
      <c r="D710" s="755"/>
      <c r="E710" s="755"/>
      <c r="F710" s="756"/>
      <c r="G710" s="755"/>
      <c r="H710" s="755"/>
      <c r="I710" s="757"/>
      <c r="J710" s="755"/>
      <c r="K710" s="756"/>
      <c r="L710" s="758"/>
      <c r="M710" s="758"/>
      <c r="N710" s="758"/>
      <c r="O710" s="758"/>
      <c r="P710" s="758"/>
      <c r="Q710" s="758"/>
      <c r="T710" s="758"/>
      <c r="U710" s="758"/>
      <c r="V710" s="760"/>
      <c r="W710" s="758"/>
      <c r="X710" s="758"/>
    </row>
    <row r="711" spans="1:24">
      <c r="A711" s="755"/>
      <c r="B711" s="755"/>
      <c r="C711" s="756"/>
      <c r="D711" s="755"/>
      <c r="E711" s="755"/>
      <c r="F711" s="756"/>
      <c r="G711" s="755"/>
      <c r="H711" s="755"/>
      <c r="I711" s="757"/>
      <c r="J711" s="755"/>
      <c r="K711" s="756"/>
      <c r="L711" s="758"/>
      <c r="M711" s="758"/>
      <c r="N711" s="758"/>
      <c r="O711" s="758"/>
      <c r="P711" s="758"/>
      <c r="Q711" s="758"/>
      <c r="T711" s="758"/>
      <c r="U711" s="758"/>
      <c r="V711" s="760"/>
      <c r="W711" s="758"/>
      <c r="X711" s="758"/>
    </row>
    <row r="712" spans="1:24">
      <c r="A712" s="755"/>
      <c r="B712" s="755"/>
      <c r="C712" s="756"/>
      <c r="D712" s="755"/>
      <c r="E712" s="755"/>
      <c r="F712" s="756"/>
      <c r="G712" s="755"/>
      <c r="H712" s="755"/>
      <c r="I712" s="757"/>
      <c r="J712" s="755"/>
      <c r="K712" s="756"/>
      <c r="L712" s="758"/>
      <c r="M712" s="758"/>
      <c r="N712" s="758"/>
      <c r="O712" s="758"/>
      <c r="P712" s="758"/>
      <c r="Q712" s="758"/>
      <c r="T712" s="758"/>
      <c r="U712" s="758"/>
      <c r="V712" s="760"/>
      <c r="W712" s="758"/>
      <c r="X712" s="758"/>
    </row>
    <row r="713" spans="1:24">
      <c r="A713" s="755"/>
      <c r="B713" s="755"/>
      <c r="C713" s="756"/>
      <c r="D713" s="755"/>
      <c r="E713" s="755"/>
      <c r="F713" s="756"/>
      <c r="G713" s="755"/>
      <c r="H713" s="755"/>
      <c r="I713" s="757"/>
      <c r="J713" s="755"/>
      <c r="K713" s="756"/>
      <c r="L713" s="758"/>
      <c r="M713" s="758"/>
      <c r="N713" s="758"/>
      <c r="O713" s="758"/>
      <c r="P713" s="758"/>
      <c r="Q713" s="758"/>
      <c r="T713" s="758"/>
      <c r="U713" s="758"/>
      <c r="V713" s="760"/>
      <c r="W713" s="758"/>
      <c r="X713" s="758"/>
    </row>
    <row r="714" spans="1:24">
      <c r="A714" s="755"/>
      <c r="B714" s="755"/>
      <c r="C714" s="756"/>
      <c r="D714" s="755"/>
      <c r="E714" s="755"/>
      <c r="F714" s="756"/>
      <c r="G714" s="755"/>
      <c r="H714" s="755"/>
      <c r="I714" s="757"/>
      <c r="J714" s="755"/>
      <c r="K714" s="756"/>
      <c r="L714" s="758"/>
      <c r="M714" s="758"/>
      <c r="N714" s="758"/>
      <c r="O714" s="758"/>
      <c r="P714" s="758"/>
      <c r="Q714" s="758"/>
      <c r="T714" s="758"/>
      <c r="U714" s="758"/>
      <c r="V714" s="760"/>
      <c r="W714" s="758"/>
      <c r="X714" s="758"/>
    </row>
    <row r="715" spans="1:24">
      <c r="A715" s="755"/>
      <c r="B715" s="755"/>
      <c r="C715" s="756"/>
      <c r="D715" s="755"/>
      <c r="E715" s="755"/>
      <c r="F715" s="756"/>
      <c r="G715" s="755"/>
      <c r="H715" s="755"/>
      <c r="I715" s="757"/>
      <c r="J715" s="755"/>
      <c r="K715" s="756"/>
      <c r="L715" s="758"/>
      <c r="M715" s="758"/>
      <c r="N715" s="758"/>
      <c r="O715" s="758"/>
      <c r="P715" s="758"/>
      <c r="Q715" s="758"/>
      <c r="T715" s="758"/>
      <c r="U715" s="758"/>
      <c r="V715" s="760"/>
      <c r="W715" s="758"/>
      <c r="X715" s="758"/>
    </row>
    <row r="716" spans="1:24">
      <c r="A716" s="755"/>
      <c r="B716" s="755"/>
      <c r="C716" s="756"/>
      <c r="D716" s="755"/>
      <c r="E716" s="755"/>
      <c r="F716" s="756"/>
      <c r="G716" s="755"/>
      <c r="H716" s="755"/>
      <c r="I716" s="757"/>
      <c r="J716" s="755"/>
      <c r="K716" s="756"/>
      <c r="L716" s="758"/>
      <c r="M716" s="758"/>
      <c r="N716" s="758"/>
      <c r="O716" s="758"/>
      <c r="P716" s="758"/>
      <c r="Q716" s="758"/>
      <c r="T716" s="758"/>
      <c r="U716" s="758"/>
      <c r="V716" s="760"/>
      <c r="W716" s="758"/>
      <c r="X716" s="758"/>
    </row>
    <row r="717" spans="1:24">
      <c r="A717" s="755"/>
      <c r="B717" s="755"/>
      <c r="C717" s="756"/>
      <c r="D717" s="755"/>
      <c r="E717" s="755"/>
      <c r="F717" s="756"/>
      <c r="G717" s="755"/>
      <c r="H717" s="755"/>
      <c r="I717" s="757"/>
      <c r="J717" s="755"/>
      <c r="K717" s="756"/>
      <c r="L717" s="758"/>
      <c r="M717" s="758"/>
      <c r="N717" s="758"/>
      <c r="O717" s="758"/>
      <c r="P717" s="758"/>
      <c r="Q717" s="758"/>
      <c r="T717" s="758"/>
      <c r="U717" s="758"/>
      <c r="V717" s="760"/>
      <c r="W717" s="758"/>
      <c r="X717" s="758"/>
    </row>
    <row r="718" spans="1:24">
      <c r="A718" s="755"/>
      <c r="B718" s="755"/>
      <c r="C718" s="756"/>
      <c r="D718" s="755"/>
      <c r="E718" s="755"/>
      <c r="F718" s="756"/>
      <c r="G718" s="755"/>
      <c r="H718" s="755"/>
      <c r="I718" s="757"/>
      <c r="J718" s="755"/>
      <c r="K718" s="756"/>
      <c r="L718" s="758"/>
      <c r="M718" s="758"/>
      <c r="N718" s="758"/>
      <c r="O718" s="758"/>
      <c r="P718" s="758"/>
      <c r="Q718" s="758"/>
      <c r="T718" s="758"/>
      <c r="U718" s="758"/>
      <c r="V718" s="760"/>
      <c r="W718" s="758"/>
      <c r="X718" s="758"/>
    </row>
    <row r="719" spans="1:24">
      <c r="A719" s="755"/>
      <c r="B719" s="755"/>
      <c r="C719" s="756"/>
      <c r="D719" s="755"/>
      <c r="E719" s="755"/>
      <c r="F719" s="756"/>
      <c r="G719" s="755"/>
      <c r="H719" s="755"/>
      <c r="I719" s="757"/>
      <c r="J719" s="755"/>
      <c r="K719" s="756"/>
      <c r="L719" s="758"/>
      <c r="M719" s="758"/>
      <c r="N719" s="758"/>
      <c r="O719" s="758"/>
      <c r="P719" s="758"/>
      <c r="Q719" s="758"/>
      <c r="T719" s="758"/>
      <c r="U719" s="758"/>
      <c r="V719" s="760"/>
      <c r="W719" s="758"/>
      <c r="X719" s="758"/>
    </row>
    <row r="720" spans="1:24">
      <c r="A720" s="755"/>
      <c r="B720" s="755"/>
      <c r="C720" s="756"/>
      <c r="D720" s="755"/>
      <c r="E720" s="755"/>
      <c r="F720" s="756"/>
      <c r="G720" s="755"/>
      <c r="H720" s="755"/>
      <c r="I720" s="757"/>
      <c r="J720" s="755"/>
      <c r="K720" s="756"/>
      <c r="L720" s="758"/>
      <c r="M720" s="758"/>
      <c r="N720" s="758"/>
      <c r="O720" s="758"/>
      <c r="P720" s="758"/>
      <c r="Q720" s="758"/>
      <c r="T720" s="758"/>
      <c r="U720" s="758"/>
      <c r="V720" s="760"/>
      <c r="W720" s="758"/>
      <c r="X720" s="758"/>
    </row>
    <row r="721" spans="1:24">
      <c r="A721" s="755"/>
      <c r="B721" s="755"/>
      <c r="C721" s="756"/>
      <c r="D721" s="755"/>
      <c r="E721" s="755"/>
      <c r="F721" s="756"/>
      <c r="G721" s="755"/>
      <c r="H721" s="755"/>
      <c r="I721" s="757"/>
      <c r="J721" s="755"/>
      <c r="K721" s="756"/>
      <c r="L721" s="758"/>
      <c r="M721" s="758"/>
      <c r="N721" s="758"/>
      <c r="O721" s="758"/>
      <c r="P721" s="758"/>
      <c r="Q721" s="758"/>
      <c r="T721" s="758"/>
      <c r="U721" s="758"/>
      <c r="V721" s="760"/>
      <c r="W721" s="758"/>
      <c r="X721" s="758"/>
    </row>
    <row r="722" spans="1:24">
      <c r="A722" s="755"/>
      <c r="B722" s="755"/>
      <c r="C722" s="756"/>
      <c r="D722" s="755"/>
      <c r="E722" s="755"/>
      <c r="F722" s="756"/>
      <c r="G722" s="755"/>
      <c r="H722" s="755"/>
      <c r="I722" s="757"/>
      <c r="J722" s="755"/>
      <c r="K722" s="756"/>
      <c r="L722" s="758"/>
      <c r="M722" s="758"/>
      <c r="N722" s="758"/>
      <c r="O722" s="758"/>
      <c r="P722" s="758"/>
      <c r="Q722" s="758"/>
      <c r="T722" s="758"/>
      <c r="U722" s="758"/>
      <c r="V722" s="760"/>
      <c r="W722" s="758"/>
      <c r="X722" s="758"/>
    </row>
    <row r="723" spans="1:24">
      <c r="A723" s="755"/>
      <c r="B723" s="755"/>
      <c r="C723" s="756"/>
      <c r="D723" s="755"/>
      <c r="E723" s="755"/>
      <c r="F723" s="756"/>
      <c r="G723" s="755"/>
      <c r="H723" s="755"/>
      <c r="I723" s="757"/>
      <c r="J723" s="755"/>
      <c r="K723" s="756"/>
      <c r="L723" s="758"/>
      <c r="M723" s="758"/>
      <c r="N723" s="758"/>
      <c r="O723" s="758"/>
      <c r="P723" s="758"/>
      <c r="Q723" s="758"/>
      <c r="T723" s="758"/>
      <c r="U723" s="758"/>
      <c r="V723" s="760"/>
      <c r="W723" s="758"/>
      <c r="X723" s="758"/>
    </row>
    <row r="724" spans="1:24">
      <c r="A724" s="755"/>
      <c r="B724" s="755"/>
      <c r="C724" s="756"/>
      <c r="D724" s="755"/>
      <c r="E724" s="755"/>
      <c r="F724" s="756"/>
      <c r="G724" s="755"/>
      <c r="H724" s="755"/>
      <c r="I724" s="757"/>
      <c r="J724" s="755"/>
      <c r="K724" s="756"/>
      <c r="L724" s="758"/>
      <c r="M724" s="758"/>
      <c r="N724" s="758"/>
      <c r="O724" s="758"/>
      <c r="P724" s="758"/>
      <c r="Q724" s="758"/>
      <c r="T724" s="758"/>
      <c r="U724" s="758"/>
      <c r="V724" s="760"/>
      <c r="W724" s="758"/>
      <c r="X724" s="758"/>
    </row>
    <row r="725" spans="1:24">
      <c r="A725" s="755"/>
      <c r="B725" s="755"/>
      <c r="C725" s="756"/>
      <c r="D725" s="755"/>
      <c r="E725" s="755"/>
      <c r="F725" s="756"/>
      <c r="G725" s="755"/>
      <c r="H725" s="755"/>
      <c r="I725" s="757"/>
      <c r="J725" s="755"/>
      <c r="K725" s="756"/>
      <c r="L725" s="758"/>
      <c r="M725" s="758"/>
      <c r="N725" s="758"/>
      <c r="O725" s="758"/>
      <c r="P725" s="758"/>
      <c r="Q725" s="758"/>
      <c r="T725" s="758"/>
      <c r="U725" s="758"/>
      <c r="V725" s="760"/>
      <c r="W725" s="758"/>
      <c r="X725" s="758"/>
    </row>
    <row r="726" spans="1:24">
      <c r="A726" s="755"/>
      <c r="B726" s="755"/>
      <c r="C726" s="756"/>
      <c r="D726" s="755"/>
      <c r="E726" s="755"/>
      <c r="F726" s="756"/>
      <c r="G726" s="755"/>
      <c r="H726" s="755"/>
      <c r="I726" s="757"/>
      <c r="J726" s="755"/>
      <c r="K726" s="756"/>
      <c r="L726" s="758"/>
      <c r="M726" s="758"/>
      <c r="N726" s="758"/>
      <c r="O726" s="758"/>
      <c r="P726" s="758"/>
      <c r="Q726" s="758"/>
      <c r="T726" s="758"/>
      <c r="U726" s="758"/>
      <c r="V726" s="760"/>
      <c r="W726" s="758"/>
      <c r="X726" s="758"/>
    </row>
    <row r="727" spans="1:24">
      <c r="A727" s="755"/>
      <c r="B727" s="755"/>
      <c r="C727" s="756"/>
      <c r="D727" s="755"/>
      <c r="E727" s="755"/>
      <c r="F727" s="756"/>
      <c r="G727" s="755"/>
      <c r="H727" s="755"/>
      <c r="I727" s="757"/>
      <c r="J727" s="755"/>
      <c r="K727" s="756"/>
      <c r="L727" s="758"/>
      <c r="M727" s="758"/>
      <c r="N727" s="758"/>
      <c r="O727" s="758"/>
      <c r="P727" s="758"/>
      <c r="Q727" s="758"/>
      <c r="T727" s="758"/>
      <c r="U727" s="758"/>
      <c r="V727" s="760"/>
      <c r="W727" s="758"/>
      <c r="X727" s="758"/>
    </row>
    <row r="728" spans="1:24">
      <c r="A728" s="755"/>
      <c r="B728" s="755"/>
      <c r="C728" s="756"/>
      <c r="D728" s="755"/>
      <c r="E728" s="755"/>
      <c r="F728" s="756"/>
      <c r="G728" s="755"/>
      <c r="H728" s="755"/>
      <c r="I728" s="757"/>
      <c r="J728" s="755"/>
      <c r="K728" s="756"/>
      <c r="L728" s="758"/>
      <c r="M728" s="758"/>
      <c r="N728" s="758"/>
      <c r="O728" s="758"/>
      <c r="P728" s="758"/>
      <c r="Q728" s="758"/>
      <c r="T728" s="758"/>
      <c r="U728" s="758"/>
      <c r="V728" s="760"/>
      <c r="W728" s="758"/>
      <c r="X728" s="758"/>
    </row>
    <row r="729" spans="1:24">
      <c r="A729" s="755"/>
      <c r="B729" s="755"/>
      <c r="C729" s="756"/>
      <c r="D729" s="755"/>
      <c r="E729" s="755"/>
      <c r="F729" s="756"/>
      <c r="G729" s="755"/>
      <c r="H729" s="755"/>
      <c r="I729" s="757"/>
      <c r="J729" s="755"/>
      <c r="K729" s="756"/>
      <c r="L729" s="758"/>
      <c r="M729" s="758"/>
      <c r="N729" s="758"/>
      <c r="O729" s="758"/>
      <c r="P729" s="758"/>
      <c r="Q729" s="758"/>
      <c r="T729" s="758"/>
      <c r="U729" s="758"/>
      <c r="V729" s="760"/>
      <c r="W729" s="758"/>
      <c r="X729" s="758"/>
    </row>
    <row r="730" spans="1:24">
      <c r="A730" s="755"/>
      <c r="B730" s="755"/>
      <c r="C730" s="756"/>
      <c r="D730" s="755"/>
      <c r="E730" s="755"/>
      <c r="F730" s="756"/>
      <c r="G730" s="755"/>
      <c r="H730" s="755"/>
      <c r="I730" s="757"/>
      <c r="J730" s="755"/>
      <c r="K730" s="756"/>
      <c r="L730" s="758"/>
      <c r="M730" s="758"/>
      <c r="N730" s="758"/>
      <c r="O730" s="758"/>
      <c r="P730" s="758"/>
      <c r="Q730" s="758"/>
      <c r="T730" s="758"/>
      <c r="U730" s="758"/>
      <c r="V730" s="760"/>
      <c r="W730" s="758"/>
      <c r="X730" s="758"/>
    </row>
    <row r="731" spans="1:24">
      <c r="A731" s="755"/>
      <c r="B731" s="755"/>
      <c r="C731" s="756"/>
      <c r="D731" s="755"/>
      <c r="E731" s="755"/>
      <c r="F731" s="756"/>
      <c r="G731" s="755"/>
      <c r="H731" s="755"/>
      <c r="I731" s="757"/>
      <c r="J731" s="755"/>
      <c r="K731" s="756"/>
      <c r="L731" s="758"/>
      <c r="M731" s="758"/>
      <c r="N731" s="758"/>
      <c r="O731" s="758"/>
      <c r="P731" s="758"/>
      <c r="Q731" s="758"/>
      <c r="T731" s="758"/>
      <c r="U731" s="758"/>
      <c r="V731" s="760"/>
      <c r="W731" s="758"/>
      <c r="X731" s="758"/>
    </row>
    <row r="732" spans="1:24">
      <c r="A732" s="755"/>
      <c r="B732" s="755"/>
      <c r="C732" s="756"/>
      <c r="D732" s="755"/>
      <c r="E732" s="755"/>
      <c r="F732" s="756"/>
      <c r="G732" s="755"/>
      <c r="H732" s="755"/>
      <c r="I732" s="757"/>
      <c r="J732" s="755"/>
      <c r="K732" s="756"/>
      <c r="L732" s="758"/>
      <c r="M732" s="758"/>
      <c r="N732" s="758"/>
      <c r="O732" s="758"/>
      <c r="P732" s="758"/>
      <c r="Q732" s="758"/>
      <c r="T732" s="758"/>
      <c r="U732" s="758"/>
      <c r="V732" s="760"/>
      <c r="W732" s="758"/>
      <c r="X732" s="758"/>
    </row>
    <row r="733" spans="1:24">
      <c r="A733" s="755"/>
      <c r="B733" s="755"/>
      <c r="C733" s="756"/>
      <c r="D733" s="755"/>
      <c r="E733" s="755"/>
      <c r="F733" s="756"/>
      <c r="G733" s="755"/>
      <c r="H733" s="755"/>
      <c r="I733" s="757"/>
      <c r="J733" s="755"/>
      <c r="K733" s="756"/>
      <c r="L733" s="758"/>
      <c r="M733" s="758"/>
      <c r="N733" s="758"/>
      <c r="O733" s="758"/>
      <c r="P733" s="758"/>
      <c r="Q733" s="758"/>
      <c r="T733" s="758"/>
      <c r="U733" s="758"/>
      <c r="V733" s="760"/>
      <c r="W733" s="758"/>
      <c r="X733" s="758"/>
    </row>
    <row r="734" spans="1:24">
      <c r="A734" s="755"/>
      <c r="B734" s="755"/>
      <c r="C734" s="756"/>
      <c r="D734" s="755"/>
      <c r="E734" s="755"/>
      <c r="F734" s="756"/>
      <c r="G734" s="755"/>
      <c r="H734" s="755"/>
      <c r="I734" s="757"/>
      <c r="J734" s="755"/>
      <c r="K734" s="756"/>
      <c r="L734" s="758"/>
      <c r="M734" s="758"/>
      <c r="N734" s="758"/>
      <c r="O734" s="758"/>
      <c r="P734" s="758"/>
      <c r="Q734" s="758"/>
      <c r="T734" s="758"/>
      <c r="U734" s="758"/>
      <c r="V734" s="760"/>
      <c r="W734" s="758"/>
      <c r="X734" s="758"/>
    </row>
    <row r="735" spans="1:24">
      <c r="A735" s="755"/>
      <c r="B735" s="755"/>
      <c r="C735" s="756"/>
      <c r="D735" s="755"/>
      <c r="E735" s="755"/>
      <c r="F735" s="756"/>
      <c r="G735" s="755"/>
      <c r="H735" s="755"/>
      <c r="I735" s="757"/>
      <c r="J735" s="755"/>
      <c r="K735" s="756"/>
      <c r="L735" s="758"/>
      <c r="M735" s="758"/>
      <c r="N735" s="758"/>
      <c r="O735" s="758"/>
      <c r="P735" s="758"/>
      <c r="Q735" s="758"/>
      <c r="T735" s="758"/>
      <c r="U735" s="758"/>
      <c r="V735" s="760"/>
      <c r="W735" s="758"/>
      <c r="X735" s="758"/>
    </row>
    <row r="736" spans="1:24">
      <c r="A736" s="755"/>
      <c r="B736" s="755"/>
      <c r="C736" s="756"/>
      <c r="D736" s="755"/>
      <c r="E736" s="755"/>
      <c r="F736" s="756"/>
      <c r="G736" s="755"/>
      <c r="H736" s="755"/>
      <c r="I736" s="757"/>
      <c r="J736" s="755"/>
      <c r="K736" s="756"/>
      <c r="L736" s="758"/>
      <c r="M736" s="758"/>
      <c r="N736" s="758"/>
      <c r="O736" s="758"/>
      <c r="P736" s="758"/>
      <c r="Q736" s="758"/>
      <c r="T736" s="758"/>
      <c r="U736" s="758"/>
      <c r="V736" s="760"/>
      <c r="W736" s="758"/>
      <c r="X736" s="758"/>
    </row>
    <row r="737" spans="1:24">
      <c r="A737" s="755"/>
      <c r="B737" s="755"/>
      <c r="C737" s="756"/>
      <c r="D737" s="755"/>
      <c r="E737" s="755"/>
      <c r="F737" s="756"/>
      <c r="G737" s="755"/>
      <c r="H737" s="755"/>
      <c r="I737" s="757"/>
      <c r="J737" s="755"/>
      <c r="K737" s="756"/>
      <c r="L737" s="758"/>
      <c r="M737" s="758"/>
      <c r="N737" s="758"/>
      <c r="O737" s="758"/>
      <c r="P737" s="758"/>
      <c r="Q737" s="758"/>
      <c r="T737" s="758"/>
      <c r="U737" s="758"/>
      <c r="V737" s="760"/>
      <c r="W737" s="758"/>
      <c r="X737" s="758"/>
    </row>
    <row r="738" spans="1:24">
      <c r="A738" s="755"/>
      <c r="B738" s="755"/>
      <c r="C738" s="756"/>
      <c r="D738" s="755"/>
      <c r="E738" s="755"/>
      <c r="F738" s="756"/>
      <c r="G738" s="755"/>
      <c r="H738" s="755"/>
      <c r="I738" s="757"/>
      <c r="J738" s="755"/>
      <c r="K738" s="756"/>
      <c r="L738" s="758"/>
      <c r="M738" s="758"/>
      <c r="N738" s="758"/>
      <c r="O738" s="758"/>
      <c r="P738" s="758"/>
      <c r="Q738" s="758"/>
      <c r="T738" s="758"/>
      <c r="U738" s="758"/>
      <c r="V738" s="760"/>
      <c r="W738" s="758"/>
      <c r="X738" s="758"/>
    </row>
    <row r="739" spans="1:24">
      <c r="A739" s="755"/>
      <c r="B739" s="755"/>
      <c r="C739" s="756"/>
      <c r="D739" s="755"/>
      <c r="E739" s="755"/>
      <c r="F739" s="756"/>
      <c r="G739" s="755"/>
      <c r="H739" s="755"/>
      <c r="I739" s="757"/>
      <c r="J739" s="755"/>
      <c r="K739" s="756"/>
      <c r="L739" s="758"/>
      <c r="M739" s="758"/>
      <c r="N739" s="758"/>
      <c r="O739" s="758"/>
      <c r="P739" s="758"/>
      <c r="Q739" s="758"/>
      <c r="T739" s="758"/>
      <c r="U739" s="758"/>
      <c r="V739" s="760"/>
      <c r="W739" s="758"/>
      <c r="X739" s="758"/>
    </row>
    <row r="740" spans="1:24">
      <c r="A740" s="755"/>
      <c r="B740" s="755"/>
      <c r="C740" s="756"/>
      <c r="D740" s="755"/>
      <c r="E740" s="755"/>
      <c r="F740" s="756"/>
      <c r="G740" s="755"/>
      <c r="H740" s="755"/>
      <c r="I740" s="757"/>
      <c r="J740" s="755"/>
      <c r="K740" s="756"/>
      <c r="L740" s="758"/>
      <c r="M740" s="758"/>
      <c r="N740" s="758"/>
      <c r="O740" s="758"/>
      <c r="P740" s="758"/>
      <c r="Q740" s="758"/>
      <c r="T740" s="758"/>
      <c r="U740" s="758"/>
      <c r="V740" s="760"/>
      <c r="W740" s="758"/>
      <c r="X740" s="758"/>
    </row>
    <row r="741" spans="1:24">
      <c r="A741" s="755"/>
      <c r="B741" s="755"/>
      <c r="C741" s="756"/>
      <c r="D741" s="755"/>
      <c r="E741" s="755"/>
      <c r="F741" s="756"/>
      <c r="G741" s="755"/>
      <c r="H741" s="755"/>
      <c r="I741" s="757"/>
      <c r="J741" s="755"/>
      <c r="K741" s="756"/>
      <c r="L741" s="758"/>
      <c r="M741" s="758"/>
      <c r="N741" s="758"/>
      <c r="O741" s="758"/>
      <c r="P741" s="758"/>
      <c r="Q741" s="758"/>
      <c r="T741" s="758"/>
      <c r="U741" s="758"/>
      <c r="V741" s="760"/>
      <c r="W741" s="758"/>
      <c r="X741" s="758"/>
    </row>
    <row r="742" spans="1:24">
      <c r="A742" s="755"/>
      <c r="B742" s="755"/>
      <c r="C742" s="756"/>
      <c r="D742" s="755"/>
      <c r="E742" s="755"/>
      <c r="F742" s="756"/>
      <c r="G742" s="755"/>
      <c r="H742" s="755"/>
      <c r="I742" s="757"/>
      <c r="J742" s="755"/>
      <c r="K742" s="756"/>
      <c r="L742" s="758"/>
      <c r="M742" s="758"/>
      <c r="N742" s="758"/>
      <c r="O742" s="758"/>
      <c r="P742" s="758"/>
      <c r="Q742" s="758"/>
      <c r="T742" s="758"/>
      <c r="U742" s="758"/>
      <c r="V742" s="760"/>
      <c r="W742" s="758"/>
      <c r="X742" s="758"/>
    </row>
    <row r="743" spans="1:24">
      <c r="A743" s="755"/>
      <c r="B743" s="755"/>
      <c r="C743" s="756"/>
      <c r="D743" s="755"/>
      <c r="E743" s="755"/>
      <c r="F743" s="756"/>
      <c r="G743" s="755"/>
      <c r="H743" s="755"/>
      <c r="I743" s="757"/>
      <c r="J743" s="755"/>
      <c r="K743" s="756"/>
      <c r="L743" s="758"/>
      <c r="M743" s="758"/>
      <c r="N743" s="758"/>
      <c r="O743" s="758"/>
      <c r="P743" s="758"/>
      <c r="Q743" s="758"/>
      <c r="T743" s="758"/>
      <c r="U743" s="758"/>
      <c r="V743" s="760"/>
      <c r="W743" s="758"/>
      <c r="X743" s="758"/>
    </row>
    <row r="744" spans="1:24">
      <c r="A744" s="755"/>
      <c r="B744" s="755"/>
      <c r="C744" s="756"/>
      <c r="D744" s="755"/>
      <c r="E744" s="755"/>
      <c r="F744" s="756"/>
      <c r="G744" s="755"/>
      <c r="H744" s="755"/>
      <c r="I744" s="757"/>
      <c r="J744" s="755"/>
      <c r="K744" s="756"/>
      <c r="L744" s="758"/>
      <c r="M744" s="758"/>
      <c r="N744" s="758"/>
      <c r="O744" s="758"/>
      <c r="P744" s="758"/>
      <c r="Q744" s="758"/>
      <c r="T744" s="758"/>
      <c r="U744" s="758"/>
      <c r="V744" s="760"/>
      <c r="W744" s="758"/>
      <c r="X744" s="758"/>
    </row>
    <row r="745" spans="1:24">
      <c r="A745" s="755"/>
      <c r="B745" s="755"/>
      <c r="C745" s="756"/>
      <c r="D745" s="755"/>
      <c r="E745" s="755"/>
      <c r="F745" s="756"/>
      <c r="G745" s="755"/>
      <c r="H745" s="755"/>
      <c r="I745" s="757"/>
      <c r="J745" s="755"/>
      <c r="K745" s="756"/>
      <c r="L745" s="758"/>
      <c r="M745" s="758"/>
      <c r="N745" s="758"/>
      <c r="O745" s="758"/>
      <c r="P745" s="758"/>
      <c r="Q745" s="758"/>
      <c r="T745" s="758"/>
      <c r="U745" s="758"/>
      <c r="V745" s="760"/>
      <c r="W745" s="758"/>
      <c r="X745" s="758"/>
    </row>
    <row r="746" spans="1:24">
      <c r="A746" s="755"/>
      <c r="B746" s="755"/>
      <c r="C746" s="756"/>
      <c r="D746" s="755"/>
      <c r="E746" s="755"/>
      <c r="F746" s="756"/>
      <c r="G746" s="755"/>
      <c r="H746" s="755"/>
      <c r="I746" s="757"/>
      <c r="J746" s="755"/>
      <c r="K746" s="756"/>
      <c r="L746" s="758"/>
      <c r="M746" s="758"/>
      <c r="N746" s="758"/>
      <c r="O746" s="758"/>
      <c r="P746" s="758"/>
      <c r="Q746" s="758"/>
      <c r="T746" s="758"/>
      <c r="U746" s="758"/>
      <c r="V746" s="760"/>
      <c r="W746" s="758"/>
      <c r="X746" s="758"/>
    </row>
    <row r="747" spans="1:24">
      <c r="A747" s="755"/>
      <c r="B747" s="755"/>
      <c r="C747" s="756"/>
      <c r="D747" s="755"/>
      <c r="E747" s="755"/>
      <c r="F747" s="756"/>
      <c r="G747" s="755"/>
      <c r="H747" s="755"/>
      <c r="I747" s="757"/>
      <c r="J747" s="755"/>
      <c r="K747" s="756"/>
      <c r="L747" s="758"/>
      <c r="M747" s="758"/>
      <c r="N747" s="758"/>
      <c r="O747" s="758"/>
      <c r="P747" s="758"/>
      <c r="Q747" s="758"/>
      <c r="T747" s="758"/>
      <c r="U747" s="758"/>
      <c r="V747" s="760"/>
      <c r="W747" s="758"/>
      <c r="X747" s="758"/>
    </row>
    <row r="748" spans="1:24">
      <c r="A748" s="755"/>
      <c r="B748" s="755"/>
      <c r="C748" s="756"/>
      <c r="D748" s="755"/>
      <c r="E748" s="755"/>
      <c r="F748" s="756"/>
      <c r="G748" s="755"/>
      <c r="H748" s="755"/>
      <c r="I748" s="757"/>
      <c r="J748" s="755"/>
      <c r="K748" s="756"/>
      <c r="L748" s="758"/>
      <c r="M748" s="758"/>
      <c r="N748" s="758"/>
      <c r="O748" s="758"/>
      <c r="P748" s="758"/>
      <c r="Q748" s="758"/>
      <c r="T748" s="758"/>
      <c r="U748" s="758"/>
      <c r="V748" s="760"/>
      <c r="W748" s="758"/>
      <c r="X748" s="758"/>
    </row>
    <row r="749" spans="1:24">
      <c r="A749" s="755"/>
      <c r="B749" s="755"/>
      <c r="C749" s="756"/>
      <c r="D749" s="755"/>
      <c r="E749" s="755"/>
      <c r="F749" s="756"/>
      <c r="G749" s="755"/>
      <c r="H749" s="755"/>
      <c r="I749" s="757"/>
      <c r="J749" s="755"/>
      <c r="K749" s="756"/>
      <c r="L749" s="758"/>
      <c r="M749" s="758"/>
      <c r="N749" s="758"/>
      <c r="O749" s="758"/>
      <c r="P749" s="758"/>
      <c r="Q749" s="758"/>
      <c r="T749" s="758"/>
      <c r="U749" s="758"/>
      <c r="V749" s="760"/>
      <c r="W749" s="758"/>
      <c r="X749" s="758"/>
    </row>
    <row r="750" spans="1:24">
      <c r="A750" s="755"/>
      <c r="B750" s="755"/>
      <c r="C750" s="756"/>
      <c r="D750" s="755"/>
      <c r="E750" s="755"/>
      <c r="F750" s="756"/>
      <c r="G750" s="755"/>
      <c r="H750" s="755"/>
      <c r="I750" s="757"/>
      <c r="J750" s="755"/>
      <c r="K750" s="756"/>
      <c r="L750" s="758"/>
      <c r="M750" s="758"/>
      <c r="N750" s="758"/>
      <c r="O750" s="758"/>
      <c r="P750" s="758"/>
      <c r="Q750" s="758"/>
      <c r="T750" s="758"/>
      <c r="U750" s="758"/>
      <c r="V750" s="760"/>
      <c r="W750" s="758"/>
      <c r="X750" s="758"/>
    </row>
    <row r="751" spans="1:24">
      <c r="A751" s="755"/>
      <c r="B751" s="755"/>
      <c r="C751" s="756"/>
      <c r="D751" s="755"/>
      <c r="E751" s="755"/>
      <c r="F751" s="756"/>
      <c r="G751" s="755"/>
      <c r="H751" s="755"/>
      <c r="I751" s="757"/>
      <c r="J751" s="755"/>
      <c r="K751" s="756"/>
      <c r="L751" s="758"/>
      <c r="M751" s="758"/>
      <c r="N751" s="758"/>
      <c r="O751" s="758"/>
      <c r="P751" s="758"/>
      <c r="Q751" s="758"/>
      <c r="T751" s="758"/>
      <c r="U751" s="758"/>
      <c r="V751" s="760"/>
      <c r="W751" s="758"/>
      <c r="X751" s="758"/>
    </row>
    <row r="752" spans="1:24">
      <c r="A752" s="755"/>
      <c r="B752" s="755"/>
      <c r="C752" s="756"/>
      <c r="D752" s="755"/>
      <c r="E752" s="755"/>
      <c r="F752" s="756"/>
      <c r="G752" s="755"/>
      <c r="H752" s="755"/>
      <c r="I752" s="757"/>
      <c r="J752" s="755"/>
      <c r="K752" s="756"/>
      <c r="L752" s="758"/>
      <c r="M752" s="758"/>
      <c r="N752" s="758"/>
      <c r="O752" s="758"/>
      <c r="P752" s="758"/>
      <c r="Q752" s="758"/>
      <c r="T752" s="758"/>
      <c r="U752" s="758"/>
      <c r="V752" s="760"/>
      <c r="W752" s="758"/>
      <c r="X752" s="758"/>
    </row>
    <row r="753" spans="1:24">
      <c r="A753" s="755"/>
      <c r="B753" s="755"/>
      <c r="C753" s="756"/>
      <c r="D753" s="755"/>
      <c r="E753" s="755"/>
      <c r="F753" s="756"/>
      <c r="G753" s="755"/>
      <c r="H753" s="755"/>
      <c r="I753" s="757"/>
      <c r="J753" s="755"/>
      <c r="K753" s="756"/>
      <c r="L753" s="758"/>
      <c r="M753" s="758"/>
      <c r="N753" s="758"/>
      <c r="O753" s="758"/>
      <c r="P753" s="758"/>
      <c r="Q753" s="758"/>
      <c r="T753" s="758"/>
      <c r="U753" s="758"/>
      <c r="V753" s="760"/>
      <c r="W753" s="758"/>
      <c r="X753" s="758"/>
    </row>
    <row r="754" spans="1:24">
      <c r="A754" s="755"/>
      <c r="B754" s="755"/>
      <c r="C754" s="756"/>
      <c r="D754" s="755"/>
      <c r="E754" s="755"/>
      <c r="F754" s="756"/>
      <c r="G754" s="755"/>
      <c r="H754" s="755"/>
      <c r="I754" s="757"/>
      <c r="J754" s="755"/>
      <c r="K754" s="756"/>
      <c r="L754" s="758"/>
      <c r="M754" s="758"/>
      <c r="N754" s="758"/>
      <c r="O754" s="758"/>
      <c r="P754" s="758"/>
      <c r="Q754" s="758"/>
      <c r="T754" s="758"/>
      <c r="U754" s="758"/>
      <c r="V754" s="760"/>
      <c r="W754" s="758"/>
      <c r="X754" s="758"/>
    </row>
    <row r="755" spans="1:24">
      <c r="A755" s="755"/>
      <c r="B755" s="755"/>
      <c r="C755" s="756"/>
      <c r="D755" s="755"/>
      <c r="E755" s="755"/>
      <c r="F755" s="756"/>
      <c r="G755" s="755"/>
      <c r="H755" s="755"/>
      <c r="I755" s="757"/>
      <c r="J755" s="755"/>
      <c r="K755" s="756"/>
      <c r="L755" s="758"/>
      <c r="M755" s="758"/>
      <c r="N755" s="758"/>
      <c r="O755" s="758"/>
      <c r="P755" s="758"/>
      <c r="Q755" s="758"/>
      <c r="T755" s="758"/>
      <c r="U755" s="758"/>
      <c r="V755" s="760"/>
      <c r="W755" s="758"/>
      <c r="X755" s="758"/>
    </row>
    <row r="756" spans="1:24">
      <c r="A756" s="755"/>
      <c r="B756" s="755"/>
      <c r="C756" s="756"/>
      <c r="D756" s="755"/>
      <c r="E756" s="755"/>
      <c r="F756" s="756"/>
      <c r="G756" s="755"/>
      <c r="H756" s="755"/>
      <c r="I756" s="757"/>
      <c r="J756" s="755"/>
      <c r="K756" s="756"/>
      <c r="L756" s="758"/>
      <c r="M756" s="758"/>
      <c r="N756" s="758"/>
      <c r="O756" s="758"/>
      <c r="P756" s="758"/>
      <c r="Q756" s="758"/>
      <c r="T756" s="758"/>
      <c r="U756" s="758"/>
      <c r="V756" s="760"/>
      <c r="W756" s="758"/>
      <c r="X756" s="758"/>
    </row>
    <row r="757" spans="1:24">
      <c r="A757" s="755"/>
      <c r="B757" s="755"/>
      <c r="C757" s="756"/>
      <c r="D757" s="755"/>
      <c r="E757" s="755"/>
      <c r="F757" s="756"/>
      <c r="G757" s="755"/>
      <c r="H757" s="755"/>
      <c r="I757" s="757"/>
      <c r="J757" s="755"/>
      <c r="K757" s="756"/>
      <c r="L757" s="758"/>
      <c r="M757" s="758"/>
      <c r="N757" s="758"/>
      <c r="O757" s="758"/>
      <c r="P757" s="758"/>
      <c r="Q757" s="758"/>
      <c r="T757" s="758"/>
      <c r="U757" s="758"/>
      <c r="V757" s="760"/>
      <c r="W757" s="758"/>
      <c r="X757" s="758"/>
    </row>
    <row r="758" spans="1:24">
      <c r="A758" s="755"/>
      <c r="B758" s="755"/>
      <c r="C758" s="756"/>
      <c r="D758" s="755"/>
      <c r="E758" s="755"/>
      <c r="F758" s="756"/>
      <c r="G758" s="755"/>
      <c r="H758" s="755"/>
      <c r="I758" s="757"/>
      <c r="J758" s="755"/>
      <c r="K758" s="756"/>
      <c r="L758" s="758"/>
      <c r="M758" s="758"/>
      <c r="N758" s="758"/>
      <c r="O758" s="758"/>
      <c r="P758" s="758"/>
      <c r="Q758" s="758"/>
      <c r="T758" s="758"/>
      <c r="U758" s="758"/>
      <c r="V758" s="760"/>
      <c r="W758" s="758"/>
      <c r="X758" s="758"/>
    </row>
    <row r="759" spans="1:24">
      <c r="A759" s="755"/>
      <c r="B759" s="755"/>
      <c r="C759" s="756"/>
      <c r="D759" s="755"/>
      <c r="E759" s="755"/>
      <c r="F759" s="756"/>
      <c r="G759" s="755"/>
      <c r="H759" s="755"/>
      <c r="I759" s="757"/>
      <c r="J759" s="755"/>
      <c r="K759" s="756"/>
      <c r="L759" s="758"/>
      <c r="M759" s="758"/>
      <c r="N759" s="758"/>
      <c r="O759" s="758"/>
      <c r="P759" s="758"/>
      <c r="Q759" s="758"/>
      <c r="T759" s="758"/>
      <c r="U759" s="758"/>
      <c r="V759" s="760"/>
      <c r="W759" s="758"/>
      <c r="X759" s="758"/>
    </row>
    <row r="760" spans="1:24">
      <c r="A760" s="755"/>
      <c r="B760" s="755"/>
      <c r="C760" s="756"/>
      <c r="D760" s="755"/>
      <c r="E760" s="755"/>
      <c r="F760" s="756"/>
      <c r="G760" s="755"/>
      <c r="H760" s="755"/>
      <c r="I760" s="757"/>
      <c r="J760" s="755"/>
      <c r="K760" s="756"/>
      <c r="L760" s="758"/>
      <c r="M760" s="758"/>
      <c r="N760" s="758"/>
      <c r="O760" s="758"/>
      <c r="P760" s="758"/>
      <c r="Q760" s="758"/>
      <c r="T760" s="758"/>
      <c r="U760" s="758"/>
      <c r="V760" s="760"/>
      <c r="W760" s="758"/>
      <c r="X760" s="758"/>
    </row>
    <row r="761" spans="1:24">
      <c r="A761" s="755"/>
      <c r="B761" s="755"/>
      <c r="C761" s="756"/>
      <c r="D761" s="755"/>
      <c r="E761" s="755"/>
      <c r="F761" s="756"/>
      <c r="G761" s="755"/>
      <c r="H761" s="755"/>
      <c r="I761" s="757"/>
      <c r="J761" s="755"/>
      <c r="K761" s="756"/>
      <c r="L761" s="758"/>
      <c r="M761" s="758"/>
      <c r="N761" s="758"/>
      <c r="O761" s="758"/>
      <c r="P761" s="758"/>
      <c r="Q761" s="758"/>
      <c r="T761" s="758"/>
      <c r="U761" s="758"/>
      <c r="V761" s="760"/>
      <c r="W761" s="758"/>
      <c r="X761" s="758"/>
    </row>
    <row r="762" spans="1:24">
      <c r="A762" s="755"/>
      <c r="B762" s="755"/>
      <c r="C762" s="756"/>
      <c r="D762" s="755"/>
      <c r="E762" s="755"/>
      <c r="F762" s="756"/>
      <c r="G762" s="755"/>
      <c r="H762" s="755"/>
      <c r="I762" s="757"/>
      <c r="J762" s="755"/>
      <c r="K762" s="756"/>
      <c r="L762" s="758"/>
      <c r="M762" s="758"/>
      <c r="N762" s="758"/>
      <c r="O762" s="758"/>
      <c r="P762" s="758"/>
      <c r="Q762" s="758"/>
      <c r="T762" s="758"/>
      <c r="U762" s="758"/>
      <c r="V762" s="760"/>
      <c r="W762" s="758"/>
      <c r="X762" s="758"/>
    </row>
    <row r="763" spans="1:24">
      <c r="A763" s="755"/>
      <c r="B763" s="755"/>
      <c r="C763" s="756"/>
      <c r="D763" s="755"/>
      <c r="E763" s="755"/>
      <c r="F763" s="756"/>
      <c r="G763" s="755"/>
      <c r="H763" s="755"/>
      <c r="I763" s="757"/>
      <c r="J763" s="755"/>
      <c r="K763" s="756"/>
      <c r="L763" s="758"/>
      <c r="M763" s="758"/>
      <c r="N763" s="758"/>
      <c r="O763" s="758"/>
      <c r="P763" s="758"/>
      <c r="Q763" s="758"/>
      <c r="T763" s="758"/>
      <c r="U763" s="758"/>
      <c r="V763" s="760"/>
      <c r="W763" s="758"/>
      <c r="X763" s="758"/>
    </row>
    <row r="764" spans="1:24">
      <c r="A764" s="755"/>
      <c r="B764" s="755"/>
      <c r="C764" s="756"/>
      <c r="D764" s="755"/>
      <c r="E764" s="755"/>
      <c r="F764" s="756"/>
      <c r="G764" s="755"/>
      <c r="H764" s="755"/>
      <c r="I764" s="757"/>
      <c r="J764" s="755"/>
      <c r="K764" s="756"/>
      <c r="L764" s="758"/>
      <c r="M764" s="758"/>
      <c r="N764" s="758"/>
      <c r="O764" s="758"/>
      <c r="P764" s="758"/>
      <c r="Q764" s="758"/>
      <c r="T764" s="758"/>
      <c r="U764" s="758"/>
      <c r="V764" s="760"/>
      <c r="W764" s="758"/>
      <c r="X764" s="758"/>
    </row>
    <row r="765" spans="1:24">
      <c r="A765" s="755"/>
      <c r="B765" s="755"/>
      <c r="C765" s="756"/>
      <c r="D765" s="755"/>
      <c r="E765" s="755"/>
      <c r="F765" s="756"/>
      <c r="G765" s="755"/>
      <c r="H765" s="755"/>
      <c r="I765" s="757"/>
      <c r="J765" s="755"/>
      <c r="K765" s="756"/>
      <c r="L765" s="758"/>
      <c r="M765" s="758"/>
      <c r="N765" s="758"/>
      <c r="O765" s="758"/>
      <c r="P765" s="758"/>
      <c r="Q765" s="758"/>
      <c r="T765" s="758"/>
      <c r="U765" s="758"/>
      <c r="V765" s="760"/>
      <c r="W765" s="758"/>
      <c r="X765" s="758"/>
    </row>
    <row r="766" spans="1:24">
      <c r="A766" s="755"/>
      <c r="B766" s="755"/>
      <c r="C766" s="756"/>
      <c r="D766" s="755"/>
      <c r="E766" s="755"/>
      <c r="F766" s="756"/>
      <c r="G766" s="755"/>
      <c r="H766" s="755"/>
      <c r="I766" s="757"/>
      <c r="J766" s="755"/>
      <c r="K766" s="756"/>
      <c r="L766" s="758"/>
      <c r="M766" s="758"/>
      <c r="N766" s="758"/>
      <c r="O766" s="758"/>
      <c r="P766" s="758"/>
      <c r="Q766" s="758"/>
      <c r="T766" s="758"/>
      <c r="U766" s="758"/>
      <c r="V766" s="760"/>
      <c r="W766" s="758"/>
      <c r="X766" s="758"/>
    </row>
    <row r="767" spans="1:24">
      <c r="A767" s="755"/>
      <c r="B767" s="755"/>
      <c r="C767" s="756"/>
      <c r="D767" s="755"/>
      <c r="E767" s="755"/>
      <c r="F767" s="756"/>
      <c r="G767" s="755"/>
      <c r="H767" s="755"/>
      <c r="I767" s="757"/>
      <c r="J767" s="755"/>
      <c r="K767" s="756"/>
      <c r="L767" s="758"/>
      <c r="M767" s="758"/>
      <c r="N767" s="758"/>
      <c r="O767" s="758"/>
      <c r="P767" s="758"/>
      <c r="Q767" s="758"/>
      <c r="T767" s="758"/>
      <c r="U767" s="758"/>
      <c r="V767" s="760"/>
      <c r="W767" s="758"/>
      <c r="X767" s="758"/>
    </row>
    <row r="768" spans="1:24">
      <c r="A768" s="755"/>
      <c r="B768" s="755"/>
      <c r="C768" s="756"/>
      <c r="D768" s="755"/>
      <c r="E768" s="755"/>
      <c r="F768" s="756"/>
      <c r="G768" s="755"/>
      <c r="H768" s="755"/>
      <c r="I768" s="757"/>
      <c r="J768" s="755"/>
      <c r="K768" s="756"/>
      <c r="L768" s="758"/>
      <c r="M768" s="758"/>
      <c r="N768" s="758"/>
      <c r="O768" s="758"/>
      <c r="P768" s="758"/>
      <c r="Q768" s="758"/>
      <c r="T768" s="758"/>
      <c r="U768" s="758"/>
      <c r="V768" s="760"/>
      <c r="W768" s="758"/>
      <c r="X768" s="758"/>
    </row>
    <row r="769" spans="1:24">
      <c r="A769" s="755"/>
      <c r="B769" s="755"/>
      <c r="C769" s="756"/>
      <c r="D769" s="755"/>
      <c r="E769" s="755"/>
      <c r="F769" s="756"/>
      <c r="G769" s="755"/>
      <c r="H769" s="755"/>
      <c r="I769" s="757"/>
      <c r="J769" s="755"/>
      <c r="K769" s="756"/>
      <c r="L769" s="758"/>
      <c r="M769" s="758"/>
      <c r="N769" s="758"/>
      <c r="O769" s="758"/>
      <c r="P769" s="758"/>
      <c r="Q769" s="758"/>
      <c r="T769" s="758"/>
      <c r="U769" s="758"/>
      <c r="V769" s="760"/>
      <c r="W769" s="758"/>
      <c r="X769" s="758"/>
    </row>
    <row r="770" spans="1:24">
      <c r="A770" s="755"/>
      <c r="B770" s="755"/>
      <c r="C770" s="756"/>
      <c r="D770" s="755"/>
      <c r="E770" s="755"/>
      <c r="F770" s="756"/>
      <c r="G770" s="755"/>
      <c r="H770" s="755"/>
      <c r="I770" s="757"/>
      <c r="J770" s="755"/>
      <c r="K770" s="756"/>
      <c r="L770" s="758"/>
      <c r="M770" s="758"/>
      <c r="N770" s="758"/>
      <c r="O770" s="758"/>
      <c r="P770" s="758"/>
      <c r="Q770" s="758"/>
      <c r="T770" s="758"/>
      <c r="U770" s="758"/>
      <c r="V770" s="760"/>
      <c r="W770" s="758"/>
      <c r="X770" s="758"/>
    </row>
    <row r="771" spans="1:24">
      <c r="A771" s="755"/>
      <c r="B771" s="755"/>
      <c r="C771" s="756"/>
      <c r="D771" s="755"/>
      <c r="E771" s="755"/>
      <c r="F771" s="756"/>
      <c r="G771" s="755"/>
      <c r="H771" s="755"/>
      <c r="I771" s="757"/>
      <c r="J771" s="755"/>
      <c r="K771" s="756"/>
      <c r="L771" s="758"/>
      <c r="M771" s="758"/>
      <c r="N771" s="758"/>
      <c r="O771" s="758"/>
      <c r="P771" s="758"/>
      <c r="Q771" s="758"/>
      <c r="T771" s="758"/>
      <c r="U771" s="758"/>
      <c r="V771" s="760"/>
      <c r="W771" s="758"/>
      <c r="X771" s="758"/>
    </row>
    <row r="772" spans="1:24">
      <c r="A772" s="755"/>
      <c r="B772" s="755"/>
      <c r="C772" s="756"/>
      <c r="D772" s="755"/>
      <c r="E772" s="755"/>
      <c r="F772" s="756"/>
      <c r="G772" s="755"/>
      <c r="H772" s="755"/>
      <c r="I772" s="757"/>
      <c r="J772" s="755"/>
      <c r="K772" s="756"/>
      <c r="L772" s="758"/>
      <c r="M772" s="758"/>
      <c r="N772" s="758"/>
      <c r="O772" s="758"/>
      <c r="P772" s="758"/>
      <c r="Q772" s="758"/>
      <c r="T772" s="758"/>
      <c r="U772" s="758"/>
      <c r="V772" s="760"/>
      <c r="W772" s="758"/>
      <c r="X772" s="758"/>
    </row>
    <row r="773" spans="1:24">
      <c r="A773" s="755"/>
      <c r="B773" s="755"/>
      <c r="C773" s="756"/>
      <c r="D773" s="755"/>
      <c r="E773" s="755"/>
      <c r="F773" s="756"/>
      <c r="G773" s="755"/>
      <c r="H773" s="755"/>
      <c r="I773" s="757"/>
      <c r="J773" s="755"/>
      <c r="K773" s="756"/>
      <c r="L773" s="758"/>
      <c r="M773" s="758"/>
      <c r="N773" s="758"/>
      <c r="O773" s="758"/>
      <c r="P773" s="758"/>
      <c r="Q773" s="758"/>
      <c r="T773" s="758"/>
      <c r="U773" s="758"/>
      <c r="V773" s="760"/>
      <c r="W773" s="758"/>
      <c r="X773" s="758"/>
    </row>
    <row r="774" spans="1:24">
      <c r="A774" s="755"/>
      <c r="B774" s="755"/>
      <c r="C774" s="756"/>
      <c r="D774" s="755"/>
      <c r="E774" s="755"/>
      <c r="F774" s="756"/>
      <c r="G774" s="755"/>
      <c r="H774" s="755"/>
      <c r="I774" s="757"/>
      <c r="J774" s="755"/>
      <c r="K774" s="756"/>
      <c r="L774" s="758"/>
      <c r="M774" s="758"/>
      <c r="N774" s="758"/>
      <c r="O774" s="758"/>
      <c r="P774" s="758"/>
      <c r="Q774" s="758"/>
      <c r="T774" s="758"/>
      <c r="U774" s="758"/>
      <c r="V774" s="760"/>
      <c r="W774" s="758"/>
      <c r="X774" s="758"/>
    </row>
    <row r="775" spans="1:24">
      <c r="A775" s="755"/>
      <c r="B775" s="755"/>
      <c r="C775" s="756"/>
      <c r="D775" s="755"/>
      <c r="E775" s="755"/>
      <c r="F775" s="756"/>
      <c r="G775" s="755"/>
      <c r="H775" s="755"/>
      <c r="I775" s="757"/>
      <c r="J775" s="755"/>
      <c r="K775" s="756"/>
      <c r="L775" s="758"/>
      <c r="M775" s="758"/>
      <c r="N775" s="758"/>
      <c r="O775" s="758"/>
      <c r="P775" s="758"/>
      <c r="Q775" s="758"/>
      <c r="T775" s="758"/>
      <c r="U775" s="758"/>
      <c r="V775" s="760"/>
      <c r="W775" s="758"/>
      <c r="X775" s="758"/>
    </row>
    <row r="776" spans="1:24">
      <c r="A776" s="755"/>
      <c r="B776" s="755"/>
      <c r="C776" s="756"/>
      <c r="D776" s="755"/>
      <c r="E776" s="755"/>
      <c r="F776" s="756"/>
      <c r="G776" s="755"/>
      <c r="H776" s="755"/>
      <c r="I776" s="757"/>
      <c r="J776" s="755"/>
      <c r="K776" s="756"/>
      <c r="L776" s="758"/>
      <c r="M776" s="758"/>
      <c r="N776" s="758"/>
      <c r="O776" s="758"/>
      <c r="P776" s="758"/>
      <c r="Q776" s="758"/>
      <c r="T776" s="758"/>
      <c r="U776" s="758"/>
      <c r="V776" s="760"/>
      <c r="W776" s="758"/>
      <c r="X776" s="758"/>
    </row>
    <row r="777" spans="1:24">
      <c r="A777" s="755"/>
      <c r="B777" s="755"/>
      <c r="C777" s="756"/>
      <c r="D777" s="755"/>
      <c r="E777" s="755"/>
      <c r="F777" s="756"/>
      <c r="G777" s="755"/>
      <c r="H777" s="755"/>
      <c r="I777" s="757"/>
      <c r="J777" s="755"/>
      <c r="K777" s="756"/>
      <c r="L777" s="758"/>
      <c r="M777" s="758"/>
      <c r="N777" s="758"/>
      <c r="O777" s="758"/>
      <c r="P777" s="758"/>
      <c r="Q777" s="758"/>
      <c r="T777" s="758"/>
      <c r="U777" s="758"/>
      <c r="V777" s="760"/>
      <c r="W777" s="758"/>
      <c r="X777" s="758"/>
    </row>
    <row r="778" spans="1:24">
      <c r="A778" s="755"/>
      <c r="B778" s="755"/>
      <c r="C778" s="756"/>
      <c r="D778" s="755"/>
      <c r="E778" s="755"/>
      <c r="F778" s="756"/>
      <c r="G778" s="755"/>
      <c r="H778" s="755"/>
      <c r="I778" s="757"/>
      <c r="J778" s="755"/>
      <c r="K778" s="756"/>
      <c r="L778" s="758"/>
      <c r="M778" s="758"/>
      <c r="N778" s="758"/>
      <c r="O778" s="758"/>
      <c r="P778" s="758"/>
      <c r="Q778" s="758"/>
      <c r="T778" s="758"/>
      <c r="U778" s="758"/>
      <c r="V778" s="760"/>
      <c r="W778" s="758"/>
      <c r="X778" s="758"/>
    </row>
    <row r="779" spans="1:24">
      <c r="A779" s="755"/>
      <c r="B779" s="755"/>
      <c r="C779" s="756"/>
      <c r="D779" s="755"/>
      <c r="E779" s="755"/>
      <c r="F779" s="756"/>
      <c r="G779" s="755"/>
      <c r="H779" s="755"/>
      <c r="I779" s="757"/>
      <c r="J779" s="755"/>
      <c r="K779" s="756"/>
      <c r="L779" s="758"/>
      <c r="M779" s="758"/>
      <c r="N779" s="758"/>
      <c r="O779" s="758"/>
      <c r="P779" s="758"/>
      <c r="Q779" s="758"/>
      <c r="T779" s="758"/>
      <c r="U779" s="758"/>
      <c r="V779" s="760"/>
      <c r="W779" s="758"/>
      <c r="X779" s="758"/>
    </row>
    <row r="780" spans="1:24">
      <c r="A780" s="755"/>
      <c r="B780" s="755"/>
      <c r="C780" s="756"/>
      <c r="D780" s="755"/>
      <c r="E780" s="755"/>
      <c r="F780" s="756"/>
      <c r="G780" s="755"/>
      <c r="H780" s="755"/>
      <c r="I780" s="757"/>
      <c r="J780" s="755"/>
      <c r="K780" s="756"/>
      <c r="L780" s="758"/>
      <c r="M780" s="758"/>
      <c r="N780" s="758"/>
      <c r="O780" s="758"/>
      <c r="P780" s="758"/>
      <c r="Q780" s="758"/>
      <c r="T780" s="758"/>
      <c r="U780" s="758"/>
      <c r="V780" s="760"/>
      <c r="W780" s="758"/>
      <c r="X780" s="758"/>
    </row>
    <row r="781" spans="1:24">
      <c r="A781" s="755"/>
      <c r="B781" s="755"/>
      <c r="C781" s="756"/>
      <c r="D781" s="755"/>
      <c r="E781" s="755"/>
      <c r="F781" s="756"/>
      <c r="G781" s="755"/>
      <c r="H781" s="755"/>
      <c r="I781" s="757"/>
      <c r="J781" s="755"/>
      <c r="K781" s="756"/>
      <c r="L781" s="758"/>
      <c r="M781" s="758"/>
      <c r="N781" s="758"/>
      <c r="O781" s="758"/>
      <c r="P781" s="758"/>
      <c r="Q781" s="758"/>
      <c r="T781" s="758"/>
      <c r="U781" s="758"/>
      <c r="V781" s="760"/>
      <c r="W781" s="758"/>
      <c r="X781" s="758"/>
    </row>
    <row r="782" spans="1:24">
      <c r="A782" s="755"/>
      <c r="B782" s="755"/>
      <c r="C782" s="756"/>
      <c r="D782" s="755"/>
      <c r="E782" s="755"/>
      <c r="F782" s="756"/>
      <c r="G782" s="755"/>
      <c r="H782" s="755"/>
      <c r="I782" s="757"/>
      <c r="J782" s="755"/>
      <c r="K782" s="756"/>
      <c r="L782" s="758"/>
      <c r="M782" s="758"/>
      <c r="N782" s="758"/>
      <c r="O782" s="758"/>
      <c r="P782" s="758"/>
      <c r="Q782" s="758"/>
      <c r="T782" s="758"/>
      <c r="U782" s="758"/>
      <c r="V782" s="760"/>
      <c r="W782" s="758"/>
      <c r="X782" s="758"/>
    </row>
    <row r="783" spans="1:24">
      <c r="A783" s="755"/>
      <c r="B783" s="755"/>
      <c r="C783" s="756"/>
      <c r="D783" s="755"/>
      <c r="E783" s="755"/>
      <c r="F783" s="756"/>
      <c r="G783" s="755"/>
      <c r="H783" s="755"/>
      <c r="I783" s="757"/>
      <c r="J783" s="755"/>
      <c r="K783" s="756"/>
      <c r="L783" s="758"/>
      <c r="M783" s="758"/>
      <c r="N783" s="758"/>
      <c r="O783" s="758"/>
      <c r="P783" s="758"/>
      <c r="Q783" s="758"/>
      <c r="T783" s="758"/>
      <c r="U783" s="758"/>
      <c r="V783" s="760"/>
      <c r="W783" s="758"/>
      <c r="X783" s="758"/>
    </row>
    <row r="784" spans="1:24">
      <c r="A784" s="755"/>
      <c r="B784" s="755"/>
      <c r="C784" s="756"/>
      <c r="D784" s="755"/>
      <c r="E784" s="755"/>
      <c r="F784" s="756"/>
      <c r="G784" s="755"/>
      <c r="H784" s="755"/>
      <c r="I784" s="757"/>
      <c r="J784" s="755"/>
      <c r="K784" s="756"/>
      <c r="L784" s="758"/>
      <c r="M784" s="758"/>
      <c r="N784" s="758"/>
      <c r="O784" s="758"/>
      <c r="P784" s="758"/>
      <c r="Q784" s="758"/>
      <c r="T784" s="758"/>
      <c r="U784" s="758"/>
      <c r="V784" s="760"/>
      <c r="W784" s="758"/>
      <c r="X784" s="758"/>
    </row>
    <row r="785" spans="1:24">
      <c r="A785" s="755"/>
      <c r="B785" s="755"/>
      <c r="C785" s="756"/>
      <c r="D785" s="755"/>
      <c r="E785" s="755"/>
      <c r="F785" s="756"/>
      <c r="G785" s="755"/>
      <c r="H785" s="755"/>
      <c r="I785" s="757"/>
      <c r="J785" s="755"/>
      <c r="K785" s="756"/>
      <c r="L785" s="758"/>
      <c r="M785" s="758"/>
      <c r="N785" s="758"/>
      <c r="O785" s="758"/>
      <c r="P785" s="758"/>
      <c r="Q785" s="758"/>
      <c r="T785" s="758"/>
      <c r="U785" s="758"/>
      <c r="V785" s="760"/>
      <c r="W785" s="758"/>
      <c r="X785" s="758"/>
    </row>
    <row r="786" spans="1:24">
      <c r="A786" s="755"/>
      <c r="B786" s="755"/>
      <c r="C786" s="756"/>
      <c r="D786" s="755"/>
      <c r="E786" s="755"/>
      <c r="F786" s="756"/>
      <c r="G786" s="755"/>
      <c r="H786" s="755"/>
      <c r="I786" s="757"/>
      <c r="J786" s="755"/>
      <c r="K786" s="756"/>
      <c r="L786" s="758"/>
      <c r="M786" s="758"/>
      <c r="N786" s="758"/>
      <c r="O786" s="758"/>
      <c r="P786" s="758"/>
      <c r="Q786" s="758"/>
      <c r="T786" s="758"/>
      <c r="U786" s="758"/>
      <c r="V786" s="760"/>
      <c r="W786" s="758"/>
      <c r="X786" s="758"/>
    </row>
    <row r="787" spans="1:24">
      <c r="A787" s="755"/>
      <c r="B787" s="755"/>
      <c r="C787" s="756"/>
      <c r="D787" s="755"/>
      <c r="E787" s="755"/>
      <c r="F787" s="756"/>
      <c r="G787" s="755"/>
      <c r="H787" s="755"/>
      <c r="I787" s="757"/>
      <c r="J787" s="755"/>
      <c r="K787" s="756"/>
      <c r="L787" s="758"/>
      <c r="M787" s="758"/>
      <c r="N787" s="758"/>
      <c r="O787" s="758"/>
      <c r="P787" s="758"/>
      <c r="Q787" s="758"/>
      <c r="T787" s="758"/>
      <c r="U787" s="758"/>
      <c r="V787" s="760"/>
      <c r="W787" s="758"/>
      <c r="X787" s="758"/>
    </row>
    <row r="788" spans="1:24">
      <c r="A788" s="755"/>
      <c r="B788" s="755"/>
      <c r="C788" s="756"/>
      <c r="D788" s="755"/>
      <c r="E788" s="755"/>
      <c r="F788" s="756"/>
      <c r="G788" s="755"/>
      <c r="H788" s="755"/>
      <c r="I788" s="757"/>
      <c r="J788" s="755"/>
      <c r="K788" s="756"/>
      <c r="L788" s="758"/>
      <c r="M788" s="758"/>
      <c r="N788" s="758"/>
      <c r="O788" s="758"/>
      <c r="P788" s="758"/>
      <c r="Q788" s="758"/>
      <c r="T788" s="758"/>
      <c r="U788" s="758"/>
      <c r="V788" s="760"/>
      <c r="W788" s="758"/>
      <c r="X788" s="758"/>
    </row>
    <row r="789" spans="1:24">
      <c r="A789" s="755"/>
      <c r="B789" s="755"/>
      <c r="C789" s="756"/>
      <c r="D789" s="755"/>
      <c r="E789" s="755"/>
      <c r="F789" s="756"/>
      <c r="G789" s="755"/>
      <c r="H789" s="755"/>
      <c r="I789" s="757"/>
      <c r="J789" s="755"/>
      <c r="K789" s="756"/>
      <c r="L789" s="758"/>
      <c r="M789" s="758"/>
      <c r="N789" s="758"/>
      <c r="O789" s="758"/>
      <c r="P789" s="758"/>
      <c r="Q789" s="758"/>
      <c r="T789" s="758"/>
      <c r="U789" s="758"/>
      <c r="V789" s="760"/>
      <c r="W789" s="758"/>
      <c r="X789" s="758"/>
    </row>
    <row r="790" spans="1:24">
      <c r="A790" s="755"/>
      <c r="B790" s="755"/>
      <c r="C790" s="756"/>
      <c r="D790" s="755"/>
      <c r="E790" s="755"/>
      <c r="F790" s="756"/>
      <c r="G790" s="755"/>
      <c r="H790" s="755"/>
      <c r="I790" s="757"/>
      <c r="J790" s="755"/>
      <c r="K790" s="756"/>
      <c r="L790" s="758"/>
      <c r="M790" s="758"/>
      <c r="N790" s="758"/>
      <c r="O790" s="758"/>
      <c r="P790" s="758"/>
      <c r="Q790" s="758"/>
      <c r="T790" s="758"/>
      <c r="U790" s="758"/>
      <c r="V790" s="760"/>
      <c r="W790" s="758"/>
      <c r="X790" s="758"/>
    </row>
    <row r="791" spans="1:24">
      <c r="A791" s="755"/>
      <c r="B791" s="755"/>
      <c r="C791" s="756"/>
      <c r="D791" s="755"/>
      <c r="E791" s="755"/>
      <c r="F791" s="756"/>
      <c r="G791" s="755"/>
      <c r="H791" s="755"/>
      <c r="I791" s="757"/>
      <c r="J791" s="755"/>
      <c r="K791" s="756"/>
      <c r="L791" s="758"/>
      <c r="M791" s="758"/>
      <c r="N791" s="758"/>
      <c r="O791" s="758"/>
      <c r="P791" s="758"/>
      <c r="Q791" s="758"/>
      <c r="T791" s="758"/>
      <c r="U791" s="758"/>
      <c r="V791" s="760"/>
      <c r="W791" s="758"/>
      <c r="X791" s="758"/>
    </row>
    <row r="792" spans="1:24">
      <c r="A792" s="755"/>
      <c r="B792" s="755"/>
      <c r="C792" s="756"/>
      <c r="D792" s="755"/>
      <c r="E792" s="755"/>
      <c r="F792" s="756"/>
      <c r="G792" s="755"/>
      <c r="H792" s="755"/>
      <c r="I792" s="757"/>
      <c r="J792" s="755"/>
      <c r="K792" s="756"/>
      <c r="L792" s="758"/>
      <c r="M792" s="758"/>
      <c r="N792" s="758"/>
      <c r="O792" s="758"/>
      <c r="P792" s="758"/>
      <c r="Q792" s="758"/>
      <c r="T792" s="758"/>
      <c r="U792" s="758"/>
      <c r="V792" s="760"/>
      <c r="W792" s="758"/>
      <c r="X792" s="758"/>
    </row>
    <row r="793" spans="1:24">
      <c r="A793" s="755"/>
      <c r="B793" s="755"/>
      <c r="C793" s="756"/>
      <c r="D793" s="755"/>
      <c r="E793" s="755"/>
      <c r="F793" s="756"/>
      <c r="G793" s="755"/>
      <c r="H793" s="755"/>
      <c r="I793" s="757"/>
      <c r="J793" s="755"/>
      <c r="K793" s="756"/>
      <c r="L793" s="758"/>
      <c r="M793" s="758"/>
      <c r="N793" s="758"/>
      <c r="O793" s="758"/>
      <c r="P793" s="758"/>
      <c r="Q793" s="758"/>
      <c r="T793" s="758"/>
      <c r="U793" s="758"/>
      <c r="V793" s="760"/>
      <c r="W793" s="758"/>
      <c r="X793" s="758"/>
    </row>
    <row r="794" spans="1:24">
      <c r="A794" s="755"/>
      <c r="B794" s="755"/>
      <c r="C794" s="756"/>
      <c r="D794" s="755"/>
      <c r="E794" s="755"/>
      <c r="F794" s="756"/>
      <c r="G794" s="755"/>
      <c r="H794" s="755"/>
      <c r="I794" s="757"/>
      <c r="J794" s="755"/>
      <c r="K794" s="756"/>
      <c r="L794" s="758"/>
      <c r="M794" s="758"/>
      <c r="N794" s="758"/>
      <c r="O794" s="758"/>
      <c r="P794" s="758"/>
      <c r="Q794" s="758"/>
      <c r="T794" s="758"/>
      <c r="U794" s="758"/>
      <c r="V794" s="760"/>
      <c r="W794" s="758"/>
      <c r="X794" s="758"/>
    </row>
    <row r="795" spans="1:24">
      <c r="A795" s="755"/>
      <c r="B795" s="755"/>
      <c r="C795" s="756"/>
      <c r="D795" s="755"/>
      <c r="E795" s="755"/>
      <c r="F795" s="756"/>
      <c r="G795" s="755"/>
      <c r="H795" s="755"/>
      <c r="I795" s="757"/>
      <c r="J795" s="755"/>
      <c r="K795" s="756"/>
      <c r="L795" s="758"/>
      <c r="M795" s="758"/>
      <c r="N795" s="758"/>
      <c r="O795" s="758"/>
      <c r="P795" s="758"/>
      <c r="Q795" s="758"/>
      <c r="T795" s="758"/>
      <c r="U795" s="758"/>
      <c r="V795" s="760"/>
      <c r="W795" s="758"/>
      <c r="X795" s="758"/>
    </row>
    <row r="796" spans="1:24">
      <c r="A796" s="755"/>
      <c r="B796" s="755"/>
      <c r="C796" s="756"/>
      <c r="D796" s="755"/>
      <c r="E796" s="755"/>
      <c r="F796" s="756"/>
      <c r="G796" s="755"/>
      <c r="H796" s="755"/>
      <c r="I796" s="757"/>
      <c r="J796" s="755"/>
      <c r="K796" s="756"/>
      <c r="L796" s="758"/>
      <c r="M796" s="758"/>
      <c r="N796" s="758"/>
      <c r="O796" s="758"/>
      <c r="P796" s="758"/>
      <c r="Q796" s="758"/>
      <c r="T796" s="758"/>
      <c r="U796" s="758"/>
      <c r="V796" s="760"/>
      <c r="W796" s="758"/>
      <c r="X796" s="758"/>
    </row>
    <row r="797" spans="1:24">
      <c r="A797" s="755"/>
      <c r="B797" s="755"/>
      <c r="C797" s="756"/>
      <c r="D797" s="755"/>
      <c r="E797" s="755"/>
      <c r="F797" s="756"/>
      <c r="G797" s="755"/>
      <c r="H797" s="755"/>
      <c r="I797" s="757"/>
      <c r="J797" s="755"/>
      <c r="K797" s="756"/>
      <c r="L797" s="758"/>
      <c r="M797" s="758"/>
      <c r="N797" s="758"/>
      <c r="O797" s="758"/>
      <c r="P797" s="758"/>
      <c r="Q797" s="758"/>
      <c r="T797" s="758"/>
      <c r="U797" s="758"/>
      <c r="V797" s="760"/>
      <c r="W797" s="758"/>
      <c r="X797" s="758"/>
    </row>
    <row r="798" spans="1:24">
      <c r="A798" s="755"/>
      <c r="B798" s="755"/>
      <c r="C798" s="756"/>
      <c r="D798" s="755"/>
      <c r="E798" s="755"/>
      <c r="F798" s="756"/>
      <c r="G798" s="755"/>
      <c r="H798" s="755"/>
      <c r="I798" s="757"/>
      <c r="J798" s="755"/>
      <c r="K798" s="756"/>
      <c r="L798" s="758"/>
      <c r="M798" s="758"/>
      <c r="N798" s="758"/>
      <c r="O798" s="758"/>
      <c r="P798" s="758"/>
      <c r="Q798" s="758"/>
      <c r="T798" s="758"/>
      <c r="U798" s="758"/>
      <c r="V798" s="760"/>
      <c r="W798" s="758"/>
      <c r="X798" s="758"/>
    </row>
    <row r="799" spans="1:24">
      <c r="A799" s="755"/>
      <c r="B799" s="755"/>
      <c r="C799" s="756"/>
      <c r="D799" s="755"/>
      <c r="E799" s="755"/>
      <c r="F799" s="756"/>
      <c r="G799" s="755"/>
      <c r="H799" s="755"/>
      <c r="I799" s="757"/>
      <c r="J799" s="755"/>
      <c r="K799" s="756"/>
      <c r="L799" s="758"/>
      <c r="M799" s="758"/>
      <c r="N799" s="758"/>
      <c r="O799" s="758"/>
      <c r="P799" s="758"/>
      <c r="Q799" s="758"/>
      <c r="T799" s="758"/>
      <c r="U799" s="758"/>
      <c r="V799" s="760"/>
      <c r="W799" s="758"/>
      <c r="X799" s="758"/>
    </row>
    <row r="800" spans="1:24">
      <c r="A800" s="755"/>
      <c r="B800" s="755"/>
      <c r="C800" s="756"/>
      <c r="D800" s="755"/>
      <c r="E800" s="755"/>
      <c r="F800" s="756"/>
      <c r="G800" s="755"/>
      <c r="H800" s="755"/>
      <c r="I800" s="757"/>
      <c r="J800" s="755"/>
      <c r="K800" s="756"/>
      <c r="L800" s="758"/>
      <c r="M800" s="758"/>
      <c r="N800" s="758"/>
      <c r="O800" s="758"/>
      <c r="P800" s="758"/>
      <c r="Q800" s="758"/>
      <c r="T800" s="758"/>
      <c r="U800" s="758"/>
      <c r="V800" s="760"/>
      <c r="W800" s="758"/>
      <c r="X800" s="758"/>
    </row>
    <row r="801" spans="1:24">
      <c r="A801" s="755"/>
      <c r="B801" s="755"/>
      <c r="C801" s="756"/>
      <c r="D801" s="755"/>
      <c r="E801" s="755"/>
      <c r="F801" s="756"/>
      <c r="G801" s="755"/>
      <c r="H801" s="755"/>
      <c r="I801" s="757"/>
      <c r="J801" s="755"/>
      <c r="K801" s="756"/>
      <c r="L801" s="758"/>
      <c r="M801" s="758"/>
      <c r="N801" s="758"/>
      <c r="O801" s="758"/>
      <c r="P801" s="758"/>
      <c r="Q801" s="758"/>
      <c r="T801" s="758"/>
      <c r="U801" s="758"/>
      <c r="V801" s="760"/>
      <c r="W801" s="758"/>
      <c r="X801" s="758"/>
    </row>
    <row r="802" spans="1:24">
      <c r="A802" s="755"/>
      <c r="B802" s="755"/>
      <c r="C802" s="756"/>
      <c r="D802" s="755"/>
      <c r="E802" s="755"/>
      <c r="F802" s="756"/>
      <c r="G802" s="755"/>
      <c r="H802" s="755"/>
      <c r="I802" s="757"/>
      <c r="J802" s="755"/>
      <c r="K802" s="756"/>
      <c r="L802" s="758"/>
      <c r="M802" s="758"/>
      <c r="N802" s="758"/>
      <c r="O802" s="758"/>
      <c r="P802" s="758"/>
      <c r="Q802" s="758"/>
      <c r="T802" s="758"/>
      <c r="U802" s="758"/>
      <c r="V802" s="760"/>
      <c r="W802" s="758"/>
      <c r="X802" s="758"/>
    </row>
    <row r="803" spans="1:24">
      <c r="A803" s="755"/>
      <c r="B803" s="755"/>
      <c r="C803" s="756"/>
      <c r="D803" s="755"/>
      <c r="E803" s="755"/>
      <c r="F803" s="756"/>
      <c r="G803" s="755"/>
      <c r="H803" s="755"/>
      <c r="I803" s="757"/>
      <c r="J803" s="755"/>
      <c r="K803" s="756"/>
      <c r="L803" s="758"/>
      <c r="M803" s="758"/>
      <c r="N803" s="758"/>
      <c r="O803" s="758"/>
      <c r="P803" s="758"/>
      <c r="Q803" s="758"/>
      <c r="T803" s="758"/>
      <c r="U803" s="758"/>
      <c r="V803" s="760"/>
      <c r="W803" s="758"/>
      <c r="X803" s="758"/>
    </row>
    <row r="804" spans="1:24">
      <c r="A804" s="755"/>
      <c r="B804" s="755"/>
      <c r="C804" s="756"/>
      <c r="D804" s="755"/>
      <c r="E804" s="755"/>
      <c r="F804" s="756"/>
      <c r="G804" s="755"/>
      <c r="H804" s="755"/>
      <c r="I804" s="757"/>
      <c r="J804" s="755"/>
      <c r="K804" s="756"/>
      <c r="L804" s="758"/>
      <c r="M804" s="758"/>
      <c r="N804" s="758"/>
      <c r="O804" s="758"/>
      <c r="P804" s="758"/>
      <c r="Q804" s="758"/>
      <c r="T804" s="758"/>
      <c r="U804" s="758"/>
      <c r="V804" s="760"/>
      <c r="W804" s="758"/>
      <c r="X804" s="758"/>
    </row>
    <row r="805" spans="1:24">
      <c r="A805" s="755"/>
      <c r="B805" s="755"/>
      <c r="C805" s="756"/>
      <c r="D805" s="755"/>
      <c r="E805" s="755"/>
      <c r="F805" s="756"/>
      <c r="G805" s="755"/>
      <c r="H805" s="755"/>
      <c r="I805" s="757"/>
      <c r="J805" s="755"/>
      <c r="K805" s="756"/>
      <c r="L805" s="758"/>
      <c r="M805" s="758"/>
      <c r="N805" s="758"/>
      <c r="O805" s="758"/>
      <c r="P805" s="758"/>
      <c r="Q805" s="758"/>
      <c r="T805" s="758"/>
      <c r="U805" s="758"/>
      <c r="V805" s="760"/>
      <c r="W805" s="758"/>
      <c r="X805" s="758"/>
    </row>
    <row r="806" spans="1:24">
      <c r="A806" s="755"/>
      <c r="B806" s="755"/>
      <c r="C806" s="756"/>
      <c r="D806" s="755"/>
      <c r="E806" s="755"/>
      <c r="F806" s="756"/>
      <c r="G806" s="755"/>
      <c r="H806" s="755"/>
      <c r="I806" s="757"/>
      <c r="J806" s="755"/>
      <c r="K806" s="756"/>
      <c r="L806" s="758"/>
      <c r="M806" s="758"/>
      <c r="N806" s="758"/>
      <c r="O806" s="758"/>
      <c r="P806" s="758"/>
      <c r="Q806" s="758"/>
      <c r="T806" s="758"/>
      <c r="U806" s="758"/>
      <c r="V806" s="760"/>
      <c r="W806" s="758"/>
      <c r="X806" s="758"/>
    </row>
    <row r="807" spans="1:24">
      <c r="A807" s="755"/>
      <c r="B807" s="755"/>
      <c r="C807" s="756"/>
      <c r="D807" s="755"/>
      <c r="E807" s="755"/>
      <c r="F807" s="756"/>
      <c r="G807" s="755"/>
      <c r="H807" s="755"/>
      <c r="I807" s="757"/>
      <c r="J807" s="755"/>
      <c r="K807" s="756"/>
      <c r="L807" s="758"/>
      <c r="M807" s="758"/>
      <c r="N807" s="758"/>
      <c r="O807" s="758"/>
      <c r="P807" s="758"/>
      <c r="Q807" s="758"/>
      <c r="T807" s="758"/>
      <c r="U807" s="758"/>
      <c r="V807" s="760"/>
      <c r="W807" s="758"/>
      <c r="X807" s="758"/>
    </row>
    <row r="808" spans="1:24">
      <c r="A808" s="755"/>
      <c r="B808" s="755"/>
      <c r="C808" s="756"/>
      <c r="D808" s="755"/>
      <c r="E808" s="755"/>
      <c r="F808" s="756"/>
      <c r="G808" s="755"/>
      <c r="H808" s="755"/>
      <c r="I808" s="757"/>
      <c r="J808" s="755"/>
      <c r="K808" s="756"/>
      <c r="L808" s="758"/>
      <c r="M808" s="758"/>
      <c r="N808" s="758"/>
      <c r="O808" s="758"/>
      <c r="P808" s="758"/>
      <c r="Q808" s="758"/>
      <c r="T808" s="758"/>
      <c r="U808" s="758"/>
      <c r="V808" s="760"/>
      <c r="W808" s="758"/>
      <c r="X808" s="758"/>
    </row>
    <row r="809" spans="1:24">
      <c r="A809" s="755"/>
      <c r="B809" s="755"/>
      <c r="C809" s="756"/>
      <c r="D809" s="755"/>
      <c r="E809" s="755"/>
      <c r="F809" s="756"/>
      <c r="G809" s="755"/>
      <c r="H809" s="755"/>
      <c r="I809" s="757"/>
      <c r="J809" s="755"/>
      <c r="K809" s="756"/>
      <c r="L809" s="758"/>
      <c r="M809" s="758"/>
      <c r="N809" s="758"/>
      <c r="O809" s="758"/>
      <c r="P809" s="758"/>
      <c r="Q809" s="758"/>
      <c r="T809" s="758"/>
      <c r="U809" s="758"/>
      <c r="V809" s="760"/>
      <c r="W809" s="758"/>
      <c r="X809" s="758"/>
    </row>
    <row r="810" spans="1:24">
      <c r="A810" s="755"/>
      <c r="B810" s="755"/>
      <c r="C810" s="756"/>
      <c r="D810" s="755"/>
      <c r="E810" s="755"/>
      <c r="F810" s="756"/>
      <c r="G810" s="755"/>
      <c r="H810" s="755"/>
      <c r="I810" s="757"/>
      <c r="J810" s="755"/>
      <c r="K810" s="756"/>
      <c r="L810" s="758"/>
      <c r="M810" s="758"/>
      <c r="N810" s="758"/>
      <c r="O810" s="758"/>
      <c r="P810" s="758"/>
      <c r="Q810" s="758"/>
      <c r="T810" s="758"/>
      <c r="U810" s="758"/>
      <c r="V810" s="760"/>
      <c r="W810" s="758"/>
      <c r="X810" s="758"/>
    </row>
    <row r="811" spans="1:24">
      <c r="A811" s="755"/>
      <c r="B811" s="755"/>
      <c r="C811" s="756"/>
      <c r="D811" s="755"/>
      <c r="E811" s="755"/>
      <c r="F811" s="756"/>
      <c r="G811" s="755"/>
      <c r="H811" s="755"/>
      <c r="I811" s="757"/>
      <c r="J811" s="755"/>
      <c r="K811" s="756"/>
      <c r="L811" s="758"/>
      <c r="M811" s="758"/>
      <c r="N811" s="758"/>
      <c r="O811" s="758"/>
      <c r="P811" s="758"/>
      <c r="Q811" s="758"/>
      <c r="T811" s="758"/>
      <c r="U811" s="758"/>
      <c r="V811" s="760"/>
      <c r="W811" s="758"/>
      <c r="X811" s="758"/>
    </row>
    <row r="812" spans="1:24">
      <c r="A812" s="755"/>
      <c r="B812" s="755"/>
      <c r="C812" s="756"/>
      <c r="D812" s="755"/>
      <c r="E812" s="755"/>
      <c r="F812" s="756"/>
      <c r="G812" s="755"/>
      <c r="H812" s="755"/>
      <c r="I812" s="757"/>
      <c r="J812" s="755"/>
      <c r="K812" s="756"/>
      <c r="L812" s="758"/>
      <c r="M812" s="758"/>
      <c r="N812" s="758"/>
      <c r="O812" s="758"/>
      <c r="P812" s="758"/>
      <c r="Q812" s="758"/>
      <c r="T812" s="758"/>
      <c r="U812" s="758"/>
      <c r="V812" s="760"/>
      <c r="W812" s="758"/>
      <c r="X812" s="758"/>
    </row>
    <row r="813" spans="1:24">
      <c r="A813" s="755"/>
      <c r="B813" s="755"/>
      <c r="C813" s="756"/>
      <c r="D813" s="755"/>
      <c r="E813" s="755"/>
      <c r="F813" s="756"/>
      <c r="G813" s="755"/>
      <c r="H813" s="755"/>
      <c r="I813" s="757"/>
      <c r="J813" s="755"/>
      <c r="K813" s="756"/>
      <c r="L813" s="758"/>
      <c r="M813" s="758"/>
      <c r="N813" s="758"/>
      <c r="O813" s="758"/>
      <c r="P813" s="758"/>
      <c r="Q813" s="758"/>
      <c r="T813" s="758"/>
      <c r="U813" s="758"/>
      <c r="V813" s="760"/>
      <c r="W813" s="758"/>
      <c r="X813" s="758"/>
    </row>
    <row r="814" spans="1:24">
      <c r="A814" s="755"/>
      <c r="B814" s="755"/>
      <c r="C814" s="756"/>
      <c r="D814" s="755"/>
      <c r="E814" s="755"/>
      <c r="F814" s="756"/>
      <c r="G814" s="755"/>
      <c r="H814" s="755"/>
      <c r="I814" s="757"/>
      <c r="J814" s="755"/>
      <c r="K814" s="756"/>
      <c r="L814" s="758"/>
      <c r="M814" s="758"/>
      <c r="N814" s="758"/>
      <c r="O814" s="758"/>
      <c r="P814" s="758"/>
      <c r="Q814" s="758"/>
      <c r="T814" s="758"/>
      <c r="U814" s="758"/>
      <c r="V814" s="760"/>
      <c r="W814" s="758"/>
      <c r="X814" s="758"/>
    </row>
    <row r="815" spans="1:24">
      <c r="A815" s="755"/>
      <c r="B815" s="755"/>
      <c r="C815" s="756"/>
      <c r="D815" s="755"/>
      <c r="E815" s="755"/>
      <c r="F815" s="756"/>
      <c r="G815" s="755"/>
      <c r="H815" s="755"/>
      <c r="I815" s="757"/>
      <c r="J815" s="755"/>
      <c r="K815" s="756"/>
      <c r="L815" s="758"/>
      <c r="M815" s="758"/>
      <c r="N815" s="758"/>
      <c r="O815" s="758"/>
      <c r="P815" s="758"/>
      <c r="Q815" s="758"/>
      <c r="T815" s="758"/>
      <c r="U815" s="758"/>
      <c r="V815" s="760"/>
      <c r="W815" s="758"/>
      <c r="X815" s="758"/>
    </row>
    <row r="816" spans="1:24">
      <c r="A816" s="755"/>
      <c r="B816" s="755"/>
      <c r="C816" s="756"/>
      <c r="D816" s="755"/>
      <c r="E816" s="755"/>
      <c r="F816" s="756"/>
      <c r="G816" s="755"/>
      <c r="H816" s="755"/>
      <c r="I816" s="757"/>
      <c r="J816" s="755"/>
      <c r="K816" s="756"/>
      <c r="L816" s="758"/>
      <c r="M816" s="758"/>
      <c r="N816" s="758"/>
      <c r="O816" s="758"/>
      <c r="P816" s="758"/>
      <c r="Q816" s="758"/>
      <c r="T816" s="758"/>
      <c r="U816" s="758"/>
      <c r="V816" s="760"/>
      <c r="W816" s="758"/>
      <c r="X816" s="758"/>
    </row>
    <row r="817" spans="1:24">
      <c r="A817" s="755"/>
      <c r="B817" s="755"/>
      <c r="C817" s="756"/>
      <c r="D817" s="755"/>
      <c r="E817" s="755"/>
      <c r="F817" s="756"/>
      <c r="G817" s="755"/>
      <c r="H817" s="755"/>
      <c r="I817" s="757"/>
      <c r="J817" s="755"/>
      <c r="K817" s="756"/>
      <c r="L817" s="758"/>
      <c r="M817" s="758"/>
      <c r="N817" s="758"/>
      <c r="O817" s="758"/>
      <c r="P817" s="758"/>
      <c r="Q817" s="758"/>
      <c r="T817" s="758"/>
      <c r="U817" s="758"/>
      <c r="V817" s="760"/>
      <c r="W817" s="758"/>
      <c r="X817" s="758"/>
    </row>
    <row r="818" spans="1:24">
      <c r="A818" s="755"/>
      <c r="B818" s="755"/>
      <c r="C818" s="756"/>
      <c r="D818" s="755"/>
      <c r="E818" s="755"/>
      <c r="F818" s="756"/>
      <c r="G818" s="755"/>
      <c r="H818" s="755"/>
      <c r="I818" s="757"/>
      <c r="J818" s="755"/>
      <c r="K818" s="756"/>
      <c r="L818" s="758"/>
      <c r="M818" s="758"/>
      <c r="N818" s="758"/>
      <c r="O818" s="758"/>
      <c r="P818" s="758"/>
      <c r="Q818" s="758"/>
      <c r="T818" s="758"/>
      <c r="U818" s="758"/>
      <c r="V818" s="760"/>
      <c r="W818" s="758"/>
      <c r="X818" s="758"/>
    </row>
    <row r="819" spans="1:24">
      <c r="A819" s="755"/>
      <c r="B819" s="755"/>
      <c r="C819" s="756"/>
      <c r="D819" s="755"/>
      <c r="E819" s="755"/>
      <c r="F819" s="756"/>
      <c r="G819" s="755"/>
      <c r="H819" s="755"/>
      <c r="I819" s="757"/>
      <c r="J819" s="755"/>
      <c r="K819" s="756"/>
      <c r="L819" s="758"/>
      <c r="M819" s="758"/>
      <c r="N819" s="758"/>
      <c r="O819" s="758"/>
      <c r="P819" s="758"/>
      <c r="Q819" s="758"/>
      <c r="T819" s="758"/>
      <c r="U819" s="758"/>
      <c r="V819" s="760"/>
      <c r="W819" s="758"/>
      <c r="X819" s="758"/>
    </row>
    <row r="820" spans="1:24">
      <c r="A820" s="755"/>
      <c r="B820" s="755"/>
      <c r="C820" s="756"/>
      <c r="D820" s="755"/>
      <c r="E820" s="755"/>
      <c r="F820" s="756"/>
      <c r="G820" s="755"/>
      <c r="H820" s="755"/>
      <c r="I820" s="757"/>
      <c r="J820" s="755"/>
      <c r="K820" s="756"/>
      <c r="L820" s="758"/>
      <c r="M820" s="758"/>
      <c r="N820" s="758"/>
      <c r="O820" s="758"/>
      <c r="P820" s="758"/>
      <c r="Q820" s="758"/>
      <c r="T820" s="758"/>
      <c r="U820" s="758"/>
      <c r="V820" s="760"/>
      <c r="W820" s="758"/>
      <c r="X820" s="758"/>
    </row>
    <row r="821" spans="1:24">
      <c r="A821" s="755"/>
      <c r="B821" s="755"/>
      <c r="C821" s="756"/>
      <c r="D821" s="755"/>
      <c r="E821" s="755"/>
      <c r="F821" s="756"/>
      <c r="G821" s="755"/>
      <c r="H821" s="755"/>
      <c r="I821" s="757"/>
      <c r="J821" s="755"/>
      <c r="K821" s="756"/>
      <c r="L821" s="758"/>
      <c r="M821" s="758"/>
      <c r="N821" s="758"/>
      <c r="O821" s="758"/>
      <c r="P821" s="758"/>
      <c r="Q821" s="758"/>
      <c r="T821" s="758"/>
      <c r="U821" s="758"/>
      <c r="V821" s="760"/>
      <c r="W821" s="758"/>
      <c r="X821" s="758"/>
    </row>
    <row r="822" spans="1:24">
      <c r="A822" s="755"/>
      <c r="B822" s="755"/>
      <c r="C822" s="756"/>
      <c r="D822" s="755"/>
      <c r="E822" s="755"/>
      <c r="F822" s="756"/>
      <c r="G822" s="755"/>
      <c r="H822" s="755"/>
      <c r="I822" s="757"/>
      <c r="J822" s="755"/>
      <c r="K822" s="756"/>
      <c r="L822" s="758"/>
      <c r="M822" s="758"/>
      <c r="N822" s="758"/>
      <c r="O822" s="758"/>
      <c r="P822" s="758"/>
      <c r="Q822" s="758"/>
      <c r="T822" s="758"/>
      <c r="U822" s="758"/>
      <c r="V822" s="760"/>
      <c r="W822" s="758"/>
      <c r="X822" s="758"/>
    </row>
    <row r="823" spans="1:24">
      <c r="A823" s="755"/>
      <c r="B823" s="755"/>
      <c r="C823" s="756"/>
      <c r="D823" s="755"/>
      <c r="E823" s="755"/>
      <c r="F823" s="756"/>
      <c r="G823" s="755"/>
      <c r="H823" s="755"/>
      <c r="I823" s="757"/>
      <c r="J823" s="755"/>
      <c r="K823" s="756"/>
      <c r="L823" s="758"/>
      <c r="M823" s="758"/>
      <c r="N823" s="758"/>
      <c r="O823" s="758"/>
      <c r="P823" s="758"/>
      <c r="Q823" s="758"/>
      <c r="T823" s="758"/>
      <c r="U823" s="758"/>
      <c r="V823" s="760"/>
      <c r="W823" s="758"/>
      <c r="X823" s="758"/>
    </row>
    <row r="824" spans="1:24">
      <c r="A824" s="755"/>
      <c r="B824" s="755"/>
      <c r="C824" s="756"/>
      <c r="D824" s="755"/>
      <c r="E824" s="755"/>
      <c r="F824" s="756"/>
      <c r="G824" s="755"/>
      <c r="H824" s="755"/>
      <c r="I824" s="757"/>
      <c r="J824" s="755"/>
      <c r="K824" s="756"/>
      <c r="L824" s="758"/>
      <c r="M824" s="758"/>
      <c r="N824" s="758"/>
      <c r="O824" s="758"/>
      <c r="P824" s="758"/>
      <c r="Q824" s="758"/>
      <c r="T824" s="758"/>
      <c r="U824" s="758"/>
      <c r="V824" s="760"/>
      <c r="W824" s="758"/>
      <c r="X824" s="758"/>
    </row>
    <row r="825" spans="1:24">
      <c r="A825" s="755"/>
      <c r="B825" s="755"/>
      <c r="C825" s="756"/>
      <c r="D825" s="755"/>
      <c r="E825" s="755"/>
      <c r="F825" s="756"/>
      <c r="G825" s="755"/>
      <c r="H825" s="755"/>
      <c r="I825" s="757"/>
      <c r="J825" s="755"/>
      <c r="K825" s="756"/>
      <c r="L825" s="758"/>
      <c r="M825" s="758"/>
      <c r="N825" s="758"/>
      <c r="O825" s="758"/>
      <c r="P825" s="758"/>
      <c r="Q825" s="758"/>
      <c r="T825" s="758"/>
      <c r="U825" s="758"/>
      <c r="V825" s="760"/>
      <c r="W825" s="758"/>
      <c r="X825" s="758"/>
    </row>
    <row r="826" spans="1:24">
      <c r="A826" s="755"/>
      <c r="B826" s="755"/>
      <c r="C826" s="756"/>
      <c r="D826" s="755"/>
      <c r="E826" s="755"/>
      <c r="F826" s="756"/>
      <c r="G826" s="755"/>
      <c r="H826" s="755"/>
      <c r="I826" s="757"/>
      <c r="J826" s="755"/>
      <c r="K826" s="756"/>
      <c r="L826" s="758"/>
      <c r="M826" s="758"/>
      <c r="N826" s="758"/>
      <c r="O826" s="758"/>
      <c r="P826" s="758"/>
      <c r="Q826" s="758"/>
      <c r="T826" s="758"/>
      <c r="U826" s="758"/>
      <c r="V826" s="760"/>
      <c r="W826" s="758"/>
      <c r="X826" s="758"/>
    </row>
    <row r="827" spans="1:24">
      <c r="A827" s="755"/>
      <c r="B827" s="755"/>
      <c r="C827" s="756"/>
      <c r="D827" s="755"/>
      <c r="E827" s="755"/>
      <c r="F827" s="756"/>
      <c r="G827" s="755"/>
      <c r="H827" s="755"/>
      <c r="I827" s="757"/>
      <c r="J827" s="755"/>
      <c r="K827" s="756"/>
      <c r="L827" s="758"/>
      <c r="M827" s="758"/>
      <c r="N827" s="758"/>
      <c r="O827" s="758"/>
      <c r="P827" s="758"/>
      <c r="Q827" s="758"/>
      <c r="T827" s="758"/>
      <c r="U827" s="758"/>
      <c r="V827" s="760"/>
      <c r="W827" s="758"/>
      <c r="X827" s="758"/>
    </row>
    <row r="828" spans="1:24">
      <c r="A828" s="755"/>
      <c r="B828" s="755"/>
      <c r="C828" s="756"/>
      <c r="D828" s="755"/>
      <c r="E828" s="755"/>
      <c r="F828" s="756"/>
      <c r="G828" s="755"/>
      <c r="H828" s="755"/>
      <c r="I828" s="757"/>
      <c r="J828" s="755"/>
      <c r="K828" s="756"/>
      <c r="L828" s="758"/>
      <c r="M828" s="758"/>
      <c r="N828" s="758"/>
      <c r="O828" s="758"/>
      <c r="P828" s="758"/>
      <c r="Q828" s="758"/>
      <c r="T828" s="758"/>
      <c r="U828" s="758"/>
      <c r="V828" s="760"/>
      <c r="W828" s="758"/>
      <c r="X828" s="758"/>
    </row>
    <row r="829" spans="1:24">
      <c r="A829" s="755"/>
      <c r="B829" s="755"/>
      <c r="C829" s="756"/>
      <c r="D829" s="755"/>
      <c r="E829" s="755"/>
      <c r="F829" s="756"/>
      <c r="G829" s="755"/>
      <c r="H829" s="755"/>
      <c r="I829" s="757"/>
      <c r="J829" s="755"/>
      <c r="K829" s="756"/>
      <c r="L829" s="758"/>
      <c r="M829" s="758"/>
      <c r="N829" s="758"/>
      <c r="O829" s="758"/>
      <c r="P829" s="758"/>
      <c r="Q829" s="758"/>
      <c r="T829" s="758"/>
      <c r="U829" s="758"/>
      <c r="V829" s="760"/>
      <c r="W829" s="758"/>
      <c r="X829" s="758"/>
    </row>
    <row r="830" spans="1:24">
      <c r="A830" s="755"/>
      <c r="B830" s="755"/>
      <c r="C830" s="756"/>
      <c r="D830" s="755"/>
      <c r="E830" s="755"/>
      <c r="F830" s="756"/>
      <c r="G830" s="755"/>
      <c r="H830" s="755"/>
      <c r="I830" s="757"/>
      <c r="J830" s="755"/>
      <c r="K830" s="756"/>
      <c r="L830" s="758"/>
      <c r="M830" s="758"/>
      <c r="N830" s="758"/>
      <c r="O830" s="758"/>
      <c r="P830" s="758"/>
      <c r="Q830" s="758"/>
      <c r="T830" s="758"/>
      <c r="U830" s="758"/>
      <c r="V830" s="760"/>
      <c r="W830" s="758"/>
      <c r="X830" s="758"/>
    </row>
    <row r="831" spans="1:24">
      <c r="A831" s="755"/>
      <c r="B831" s="755"/>
      <c r="C831" s="756"/>
      <c r="D831" s="755"/>
      <c r="E831" s="755"/>
      <c r="F831" s="756"/>
      <c r="G831" s="755"/>
      <c r="H831" s="755"/>
      <c r="I831" s="757"/>
      <c r="J831" s="755"/>
      <c r="K831" s="756"/>
      <c r="L831" s="758"/>
      <c r="M831" s="758"/>
      <c r="N831" s="758"/>
      <c r="O831" s="758"/>
      <c r="P831" s="758"/>
      <c r="Q831" s="758"/>
      <c r="T831" s="758"/>
      <c r="U831" s="758"/>
      <c r="V831" s="760"/>
      <c r="W831" s="758"/>
      <c r="X831" s="758"/>
    </row>
    <row r="832" spans="1:24">
      <c r="A832" s="755"/>
      <c r="B832" s="755"/>
      <c r="C832" s="756"/>
      <c r="D832" s="755"/>
      <c r="E832" s="755"/>
      <c r="F832" s="756"/>
      <c r="G832" s="755"/>
      <c r="H832" s="755"/>
      <c r="I832" s="757"/>
      <c r="J832" s="755"/>
      <c r="K832" s="756"/>
      <c r="L832" s="758"/>
      <c r="M832" s="758"/>
      <c r="N832" s="758"/>
      <c r="O832" s="758"/>
      <c r="P832" s="758"/>
      <c r="Q832" s="758"/>
      <c r="T832" s="758"/>
      <c r="U832" s="758"/>
      <c r="V832" s="760"/>
      <c r="W832" s="758"/>
      <c r="X832" s="758"/>
    </row>
    <row r="833" spans="1:24">
      <c r="A833" s="755"/>
      <c r="B833" s="755"/>
      <c r="C833" s="756"/>
      <c r="D833" s="755"/>
      <c r="E833" s="755"/>
      <c r="F833" s="756"/>
      <c r="G833" s="755"/>
      <c r="H833" s="755"/>
      <c r="I833" s="757"/>
      <c r="J833" s="755"/>
      <c r="K833" s="756"/>
      <c r="L833" s="758"/>
      <c r="M833" s="758"/>
      <c r="N833" s="758"/>
      <c r="O833" s="758"/>
      <c r="P833" s="758"/>
      <c r="Q833" s="758"/>
      <c r="T833" s="758"/>
      <c r="U833" s="758"/>
      <c r="V833" s="760"/>
      <c r="W833" s="758"/>
      <c r="X833" s="758"/>
    </row>
    <row r="834" spans="1:24">
      <c r="A834" s="755"/>
      <c r="B834" s="755"/>
      <c r="C834" s="756"/>
      <c r="D834" s="755"/>
      <c r="E834" s="755"/>
      <c r="F834" s="756"/>
      <c r="G834" s="755"/>
      <c r="H834" s="755"/>
      <c r="I834" s="757"/>
      <c r="J834" s="755"/>
      <c r="K834" s="756"/>
      <c r="L834" s="758"/>
      <c r="M834" s="758"/>
      <c r="N834" s="758"/>
      <c r="O834" s="758"/>
      <c r="P834" s="758"/>
      <c r="Q834" s="758"/>
      <c r="T834" s="758"/>
      <c r="U834" s="758"/>
      <c r="V834" s="760"/>
      <c r="W834" s="758"/>
      <c r="X834" s="758"/>
    </row>
    <row r="835" spans="1:24">
      <c r="A835" s="755"/>
      <c r="B835" s="755"/>
      <c r="C835" s="756"/>
      <c r="D835" s="755"/>
      <c r="E835" s="755"/>
      <c r="F835" s="756"/>
      <c r="G835" s="755"/>
      <c r="H835" s="755"/>
      <c r="I835" s="757"/>
      <c r="J835" s="755"/>
      <c r="K835" s="756"/>
      <c r="L835" s="758"/>
      <c r="M835" s="758"/>
      <c r="N835" s="758"/>
      <c r="O835" s="758"/>
      <c r="P835" s="758"/>
      <c r="Q835" s="758"/>
      <c r="T835" s="758"/>
      <c r="U835" s="758"/>
      <c r="V835" s="760"/>
      <c r="W835" s="758"/>
      <c r="X835" s="758"/>
    </row>
    <row r="836" spans="1:24">
      <c r="A836" s="755"/>
      <c r="B836" s="755"/>
      <c r="C836" s="756"/>
      <c r="D836" s="755"/>
      <c r="E836" s="755"/>
      <c r="F836" s="756"/>
      <c r="G836" s="755"/>
      <c r="H836" s="755"/>
      <c r="I836" s="757"/>
      <c r="J836" s="755"/>
      <c r="K836" s="756"/>
      <c r="L836" s="758"/>
      <c r="M836" s="758"/>
      <c r="N836" s="758"/>
      <c r="O836" s="758"/>
      <c r="P836" s="758"/>
      <c r="Q836" s="758"/>
      <c r="T836" s="758"/>
      <c r="U836" s="758"/>
      <c r="V836" s="760"/>
      <c r="W836" s="758"/>
      <c r="X836" s="758"/>
    </row>
    <row r="837" spans="1:24">
      <c r="A837" s="755"/>
      <c r="B837" s="755"/>
      <c r="C837" s="756"/>
      <c r="D837" s="755"/>
      <c r="E837" s="755"/>
      <c r="F837" s="756"/>
      <c r="G837" s="755"/>
      <c r="H837" s="755"/>
      <c r="I837" s="757"/>
      <c r="J837" s="755"/>
      <c r="K837" s="756"/>
      <c r="L837" s="758"/>
      <c r="M837" s="758"/>
      <c r="N837" s="758"/>
      <c r="O837" s="758"/>
      <c r="P837" s="758"/>
      <c r="Q837" s="758"/>
      <c r="T837" s="758"/>
      <c r="U837" s="758"/>
      <c r="V837" s="760"/>
      <c r="W837" s="758"/>
      <c r="X837" s="758"/>
    </row>
    <row r="838" spans="1:24">
      <c r="A838" s="755"/>
      <c r="B838" s="755"/>
      <c r="C838" s="756"/>
      <c r="D838" s="755"/>
      <c r="E838" s="755"/>
      <c r="F838" s="756"/>
      <c r="G838" s="755"/>
      <c r="H838" s="755"/>
      <c r="I838" s="757"/>
      <c r="J838" s="755"/>
      <c r="K838" s="756"/>
      <c r="L838" s="758"/>
      <c r="M838" s="758"/>
      <c r="N838" s="758"/>
      <c r="O838" s="758"/>
      <c r="P838" s="758"/>
      <c r="Q838" s="758"/>
      <c r="T838" s="758"/>
      <c r="U838" s="758"/>
      <c r="V838" s="760"/>
      <c r="W838" s="758"/>
      <c r="X838" s="758"/>
    </row>
    <row r="839" spans="1:24">
      <c r="A839" s="755"/>
      <c r="B839" s="755"/>
      <c r="C839" s="756"/>
      <c r="D839" s="755"/>
      <c r="E839" s="755"/>
      <c r="F839" s="756"/>
      <c r="G839" s="755"/>
      <c r="H839" s="755"/>
      <c r="I839" s="757"/>
      <c r="J839" s="755"/>
      <c r="K839" s="756"/>
      <c r="L839" s="758"/>
      <c r="M839" s="758"/>
      <c r="N839" s="758"/>
      <c r="O839" s="758"/>
      <c r="P839" s="758"/>
      <c r="Q839" s="758"/>
      <c r="T839" s="758"/>
      <c r="U839" s="758"/>
      <c r="V839" s="760"/>
      <c r="W839" s="758"/>
      <c r="X839" s="758"/>
    </row>
    <row r="840" spans="1:24">
      <c r="A840" s="755"/>
      <c r="B840" s="755"/>
      <c r="C840" s="756"/>
      <c r="D840" s="755"/>
      <c r="E840" s="755"/>
      <c r="F840" s="756"/>
      <c r="G840" s="755"/>
      <c r="H840" s="755"/>
      <c r="I840" s="757"/>
      <c r="J840" s="755"/>
      <c r="K840" s="756"/>
      <c r="L840" s="758"/>
      <c r="M840" s="758"/>
      <c r="N840" s="758"/>
      <c r="O840" s="758"/>
      <c r="P840" s="758"/>
      <c r="Q840" s="758"/>
      <c r="T840" s="758"/>
      <c r="U840" s="758"/>
      <c r="V840" s="760"/>
      <c r="W840" s="758"/>
      <c r="X840" s="758"/>
    </row>
    <row r="841" spans="1:24">
      <c r="A841" s="755"/>
      <c r="B841" s="755"/>
      <c r="C841" s="756"/>
      <c r="D841" s="755"/>
      <c r="E841" s="755"/>
      <c r="F841" s="756"/>
      <c r="G841" s="755"/>
      <c r="H841" s="755"/>
      <c r="I841" s="757"/>
      <c r="J841" s="755"/>
      <c r="K841" s="756"/>
      <c r="L841" s="758"/>
      <c r="M841" s="758"/>
      <c r="N841" s="758"/>
      <c r="O841" s="758"/>
      <c r="P841" s="758"/>
      <c r="Q841" s="758"/>
      <c r="T841" s="758"/>
      <c r="U841" s="758"/>
      <c r="V841" s="760"/>
      <c r="W841" s="758"/>
      <c r="X841" s="758"/>
    </row>
    <row r="842" spans="1:24">
      <c r="A842" s="755"/>
      <c r="B842" s="755"/>
      <c r="C842" s="756"/>
      <c r="D842" s="755"/>
      <c r="E842" s="755"/>
      <c r="F842" s="756"/>
      <c r="G842" s="755"/>
      <c r="H842" s="755"/>
      <c r="I842" s="757"/>
      <c r="J842" s="755"/>
      <c r="K842" s="756"/>
      <c r="L842" s="758"/>
      <c r="M842" s="758"/>
      <c r="N842" s="758"/>
      <c r="O842" s="758"/>
      <c r="P842" s="758"/>
      <c r="Q842" s="758"/>
      <c r="T842" s="758"/>
      <c r="U842" s="758"/>
      <c r="V842" s="760"/>
      <c r="W842" s="758"/>
      <c r="X842" s="758"/>
    </row>
    <row r="843" spans="1:24">
      <c r="A843" s="755"/>
      <c r="B843" s="755"/>
      <c r="C843" s="756"/>
      <c r="D843" s="755"/>
      <c r="E843" s="755"/>
      <c r="F843" s="756"/>
      <c r="G843" s="755"/>
      <c r="H843" s="755"/>
      <c r="I843" s="757"/>
      <c r="J843" s="755"/>
      <c r="K843" s="756"/>
      <c r="L843" s="758"/>
      <c r="M843" s="758"/>
      <c r="N843" s="758"/>
      <c r="O843" s="758"/>
      <c r="P843" s="758"/>
      <c r="Q843" s="758"/>
      <c r="T843" s="758"/>
      <c r="U843" s="758"/>
      <c r="V843" s="760"/>
      <c r="W843" s="758"/>
      <c r="X843" s="758"/>
    </row>
    <row r="844" spans="1:24">
      <c r="A844" s="755"/>
      <c r="B844" s="755"/>
      <c r="C844" s="756"/>
      <c r="D844" s="755"/>
      <c r="E844" s="755"/>
      <c r="F844" s="756"/>
      <c r="G844" s="755"/>
      <c r="H844" s="755"/>
      <c r="I844" s="757"/>
      <c r="J844" s="755"/>
      <c r="K844" s="756"/>
      <c r="L844" s="758"/>
      <c r="M844" s="758"/>
      <c r="N844" s="758"/>
      <c r="O844" s="758"/>
      <c r="P844" s="758"/>
      <c r="Q844" s="758"/>
      <c r="T844" s="758"/>
      <c r="U844" s="758"/>
      <c r="V844" s="760"/>
      <c r="W844" s="758"/>
      <c r="X844" s="758"/>
    </row>
    <row r="845" spans="1:24">
      <c r="A845" s="755"/>
      <c r="B845" s="755"/>
      <c r="C845" s="756"/>
      <c r="D845" s="755"/>
      <c r="E845" s="755"/>
      <c r="F845" s="756"/>
      <c r="G845" s="755"/>
      <c r="H845" s="755"/>
      <c r="I845" s="757"/>
      <c r="J845" s="755"/>
      <c r="K845" s="756"/>
      <c r="L845" s="758"/>
      <c r="M845" s="758"/>
      <c r="N845" s="758"/>
      <c r="O845" s="758"/>
      <c r="P845" s="758"/>
      <c r="Q845" s="758"/>
      <c r="T845" s="758"/>
      <c r="U845" s="758"/>
      <c r="V845" s="760"/>
      <c r="W845" s="758"/>
      <c r="X845" s="758"/>
    </row>
    <row r="846" spans="1:24">
      <c r="A846" s="755"/>
      <c r="B846" s="755"/>
      <c r="C846" s="756"/>
      <c r="D846" s="755"/>
      <c r="E846" s="755"/>
      <c r="F846" s="756"/>
      <c r="G846" s="755"/>
      <c r="H846" s="755"/>
      <c r="I846" s="757"/>
      <c r="J846" s="755"/>
      <c r="K846" s="756"/>
      <c r="L846" s="758"/>
      <c r="M846" s="758"/>
      <c r="N846" s="758"/>
      <c r="O846" s="758"/>
      <c r="P846" s="758"/>
      <c r="Q846" s="758"/>
      <c r="T846" s="758"/>
      <c r="U846" s="758"/>
      <c r="V846" s="760"/>
      <c r="W846" s="758"/>
      <c r="X846" s="758"/>
    </row>
    <row r="847" spans="1:24">
      <c r="A847" s="755"/>
      <c r="B847" s="755"/>
      <c r="C847" s="756"/>
      <c r="D847" s="755"/>
      <c r="E847" s="755"/>
      <c r="F847" s="756"/>
      <c r="G847" s="755"/>
      <c r="H847" s="755"/>
      <c r="I847" s="757"/>
      <c r="J847" s="755"/>
      <c r="K847" s="756"/>
      <c r="L847" s="758"/>
      <c r="M847" s="758"/>
      <c r="N847" s="758"/>
      <c r="O847" s="758"/>
      <c r="P847" s="758"/>
      <c r="Q847" s="758"/>
      <c r="T847" s="758"/>
      <c r="U847" s="758"/>
      <c r="V847" s="760"/>
      <c r="W847" s="758"/>
      <c r="X847" s="758"/>
    </row>
    <row r="848" spans="1:24">
      <c r="A848" s="755"/>
      <c r="B848" s="755"/>
      <c r="C848" s="756"/>
      <c r="D848" s="755"/>
      <c r="E848" s="755"/>
      <c r="F848" s="756"/>
      <c r="G848" s="755"/>
      <c r="H848" s="755"/>
      <c r="I848" s="757"/>
      <c r="J848" s="755"/>
      <c r="K848" s="756"/>
      <c r="L848" s="758"/>
      <c r="M848" s="758"/>
      <c r="N848" s="758"/>
      <c r="O848" s="758"/>
      <c r="P848" s="758"/>
      <c r="Q848" s="758"/>
      <c r="T848" s="758"/>
      <c r="U848" s="758"/>
      <c r="V848" s="760"/>
      <c r="W848" s="758"/>
      <c r="X848" s="758"/>
    </row>
    <row r="849" spans="1:24">
      <c r="A849" s="755"/>
      <c r="B849" s="755"/>
      <c r="C849" s="756"/>
      <c r="D849" s="755"/>
      <c r="E849" s="755"/>
      <c r="F849" s="756"/>
      <c r="G849" s="755"/>
      <c r="H849" s="755"/>
      <c r="I849" s="757"/>
      <c r="J849" s="755"/>
      <c r="K849" s="756"/>
      <c r="L849" s="758"/>
      <c r="M849" s="758"/>
      <c r="N849" s="758"/>
      <c r="O849" s="758"/>
      <c r="P849" s="758"/>
      <c r="Q849" s="758"/>
      <c r="T849" s="758"/>
      <c r="U849" s="758"/>
      <c r="V849" s="760"/>
      <c r="W849" s="758"/>
      <c r="X849" s="758"/>
    </row>
    <row r="850" spans="1:24">
      <c r="A850" s="755"/>
      <c r="B850" s="755"/>
      <c r="C850" s="756"/>
      <c r="D850" s="755"/>
      <c r="E850" s="755"/>
      <c r="F850" s="756"/>
      <c r="G850" s="755"/>
      <c r="H850" s="755"/>
      <c r="I850" s="757"/>
      <c r="J850" s="755"/>
      <c r="K850" s="756"/>
      <c r="L850" s="758"/>
      <c r="M850" s="758"/>
      <c r="N850" s="758"/>
      <c r="O850" s="758"/>
      <c r="P850" s="758"/>
      <c r="Q850" s="758"/>
      <c r="T850" s="758"/>
      <c r="U850" s="758"/>
      <c r="V850" s="760"/>
      <c r="W850" s="758"/>
      <c r="X850" s="758"/>
    </row>
    <row r="851" spans="1:24">
      <c r="A851" s="755"/>
      <c r="B851" s="755"/>
      <c r="C851" s="756"/>
      <c r="D851" s="755"/>
      <c r="E851" s="755"/>
      <c r="F851" s="756"/>
      <c r="G851" s="755"/>
      <c r="H851" s="755"/>
      <c r="I851" s="757"/>
      <c r="J851" s="755"/>
      <c r="K851" s="756"/>
      <c r="L851" s="758"/>
      <c r="M851" s="758"/>
      <c r="N851" s="758"/>
      <c r="O851" s="758"/>
      <c r="P851" s="758"/>
      <c r="Q851" s="758"/>
      <c r="T851" s="758"/>
      <c r="U851" s="758"/>
      <c r="V851" s="760"/>
      <c r="W851" s="758"/>
      <c r="X851" s="758"/>
    </row>
    <row r="852" spans="1:24">
      <c r="A852" s="755"/>
      <c r="B852" s="755"/>
      <c r="C852" s="756"/>
      <c r="D852" s="755"/>
      <c r="E852" s="755"/>
      <c r="F852" s="756"/>
      <c r="G852" s="755"/>
      <c r="H852" s="755"/>
      <c r="I852" s="757"/>
      <c r="J852" s="755"/>
      <c r="K852" s="756"/>
      <c r="L852" s="758"/>
      <c r="M852" s="758"/>
      <c r="N852" s="758"/>
      <c r="O852" s="758"/>
      <c r="P852" s="758"/>
      <c r="Q852" s="758"/>
      <c r="T852" s="758"/>
      <c r="U852" s="758"/>
      <c r="V852" s="760"/>
      <c r="W852" s="758"/>
      <c r="X852" s="758"/>
    </row>
    <row r="853" spans="1:24">
      <c r="A853" s="755"/>
      <c r="B853" s="755"/>
      <c r="C853" s="756"/>
      <c r="D853" s="755"/>
      <c r="E853" s="755"/>
      <c r="F853" s="756"/>
      <c r="G853" s="755"/>
      <c r="H853" s="755"/>
      <c r="I853" s="757"/>
      <c r="J853" s="755"/>
      <c r="K853" s="756"/>
      <c r="L853" s="758"/>
      <c r="M853" s="758"/>
      <c r="N853" s="758"/>
      <c r="O853" s="758"/>
      <c r="P853" s="758"/>
      <c r="Q853" s="758"/>
      <c r="T853" s="758"/>
      <c r="U853" s="758"/>
      <c r="V853" s="760"/>
      <c r="W853" s="758"/>
      <c r="X853" s="758"/>
    </row>
    <row r="854" spans="1:24">
      <c r="A854" s="755"/>
      <c r="B854" s="755"/>
      <c r="C854" s="756"/>
      <c r="D854" s="755"/>
      <c r="E854" s="755"/>
      <c r="F854" s="756"/>
      <c r="G854" s="755"/>
      <c r="H854" s="755"/>
      <c r="I854" s="757"/>
      <c r="J854" s="755"/>
      <c r="K854" s="756"/>
      <c r="L854" s="758"/>
      <c r="M854" s="758"/>
      <c r="N854" s="758"/>
      <c r="O854" s="758"/>
      <c r="P854" s="758"/>
      <c r="Q854" s="758"/>
      <c r="T854" s="758"/>
      <c r="U854" s="758"/>
      <c r="V854" s="760"/>
      <c r="W854" s="758"/>
      <c r="X854" s="758"/>
    </row>
    <row r="855" spans="1:24">
      <c r="A855" s="755"/>
      <c r="B855" s="755"/>
      <c r="C855" s="756"/>
      <c r="D855" s="755"/>
      <c r="E855" s="755"/>
      <c r="F855" s="756"/>
      <c r="G855" s="755"/>
      <c r="H855" s="755"/>
      <c r="I855" s="757"/>
      <c r="J855" s="755"/>
      <c r="K855" s="756"/>
      <c r="L855" s="758"/>
      <c r="M855" s="758"/>
      <c r="N855" s="758"/>
      <c r="O855" s="758"/>
      <c r="P855" s="758"/>
      <c r="Q855" s="758"/>
      <c r="T855" s="758"/>
      <c r="U855" s="758"/>
      <c r="V855" s="760"/>
      <c r="W855" s="758"/>
      <c r="X855" s="758"/>
    </row>
    <row r="856" spans="1:24">
      <c r="A856" s="755"/>
      <c r="B856" s="755"/>
      <c r="C856" s="756"/>
      <c r="D856" s="755"/>
      <c r="E856" s="755"/>
      <c r="F856" s="756"/>
      <c r="G856" s="755"/>
      <c r="H856" s="755"/>
      <c r="I856" s="757"/>
      <c r="J856" s="755"/>
      <c r="K856" s="756"/>
      <c r="L856" s="758"/>
      <c r="M856" s="758"/>
      <c r="N856" s="758"/>
      <c r="O856" s="758"/>
      <c r="P856" s="758"/>
      <c r="Q856" s="758"/>
      <c r="T856" s="758"/>
      <c r="U856" s="758"/>
      <c r="V856" s="760"/>
      <c r="W856" s="758"/>
      <c r="X856" s="758"/>
    </row>
    <row r="857" spans="1:24">
      <c r="A857" s="755"/>
      <c r="B857" s="755"/>
      <c r="C857" s="756"/>
      <c r="D857" s="755"/>
      <c r="E857" s="755"/>
      <c r="F857" s="756"/>
      <c r="G857" s="755"/>
      <c r="H857" s="755"/>
      <c r="I857" s="757"/>
      <c r="J857" s="755"/>
      <c r="K857" s="756"/>
      <c r="L857" s="758"/>
      <c r="M857" s="758"/>
      <c r="N857" s="758"/>
      <c r="O857" s="758"/>
      <c r="P857" s="758"/>
      <c r="Q857" s="758"/>
      <c r="T857" s="758"/>
      <c r="U857" s="758"/>
      <c r="V857" s="760"/>
      <c r="W857" s="758"/>
      <c r="X857" s="758"/>
    </row>
    <row r="858" spans="1:24">
      <c r="A858" s="755"/>
      <c r="B858" s="755"/>
      <c r="C858" s="756"/>
      <c r="D858" s="755"/>
      <c r="E858" s="755"/>
      <c r="F858" s="756"/>
      <c r="G858" s="755"/>
      <c r="H858" s="755"/>
      <c r="I858" s="757"/>
      <c r="J858" s="755"/>
      <c r="K858" s="756"/>
      <c r="L858" s="758"/>
      <c r="M858" s="758"/>
      <c r="N858" s="758"/>
      <c r="O858" s="758"/>
      <c r="P858" s="758"/>
      <c r="Q858" s="758"/>
      <c r="T858" s="758"/>
      <c r="U858" s="758"/>
      <c r="V858" s="760"/>
      <c r="W858" s="758"/>
      <c r="X858" s="758"/>
    </row>
    <row r="859" spans="1:24">
      <c r="A859" s="755"/>
      <c r="B859" s="755"/>
      <c r="C859" s="756"/>
      <c r="D859" s="755"/>
      <c r="E859" s="755"/>
      <c r="F859" s="756"/>
      <c r="G859" s="755"/>
      <c r="H859" s="755"/>
      <c r="I859" s="757"/>
      <c r="J859" s="755"/>
      <c r="K859" s="756"/>
      <c r="L859" s="758"/>
      <c r="M859" s="758"/>
      <c r="N859" s="758"/>
      <c r="O859" s="758"/>
      <c r="P859" s="758"/>
      <c r="Q859" s="758"/>
      <c r="T859" s="758"/>
      <c r="U859" s="758"/>
      <c r="V859" s="760"/>
      <c r="W859" s="758"/>
      <c r="X859" s="758"/>
    </row>
    <row r="860" spans="1:24">
      <c r="A860" s="755"/>
      <c r="B860" s="755"/>
      <c r="C860" s="756"/>
      <c r="D860" s="755"/>
      <c r="E860" s="755"/>
      <c r="F860" s="756"/>
      <c r="G860" s="755"/>
      <c r="H860" s="755"/>
      <c r="I860" s="757"/>
      <c r="J860" s="755"/>
      <c r="K860" s="756"/>
      <c r="L860" s="758"/>
      <c r="M860" s="758"/>
      <c r="N860" s="758"/>
      <c r="O860" s="758"/>
      <c r="P860" s="758"/>
      <c r="Q860" s="758"/>
      <c r="T860" s="758"/>
      <c r="U860" s="758"/>
      <c r="V860" s="760"/>
      <c r="W860" s="758"/>
      <c r="X860" s="758"/>
    </row>
    <row r="861" spans="1:24">
      <c r="A861" s="755"/>
      <c r="B861" s="755"/>
      <c r="C861" s="756"/>
      <c r="D861" s="755"/>
      <c r="E861" s="755"/>
      <c r="F861" s="756"/>
      <c r="G861" s="755"/>
      <c r="H861" s="755"/>
      <c r="I861" s="757"/>
      <c r="J861" s="755"/>
      <c r="K861" s="756"/>
      <c r="L861" s="758"/>
      <c r="M861" s="758"/>
      <c r="N861" s="758"/>
      <c r="O861" s="758"/>
      <c r="P861" s="758"/>
      <c r="Q861" s="758"/>
      <c r="T861" s="758"/>
      <c r="U861" s="758"/>
      <c r="V861" s="760"/>
      <c r="W861" s="758"/>
      <c r="X861" s="758"/>
    </row>
    <row r="862" spans="1:24">
      <c r="A862" s="755"/>
      <c r="B862" s="755"/>
      <c r="C862" s="756"/>
      <c r="D862" s="755"/>
      <c r="E862" s="755"/>
      <c r="F862" s="756"/>
      <c r="G862" s="755"/>
      <c r="H862" s="755"/>
      <c r="I862" s="757"/>
      <c r="J862" s="755"/>
      <c r="K862" s="756"/>
      <c r="L862" s="758"/>
      <c r="M862" s="758"/>
      <c r="N862" s="758"/>
      <c r="O862" s="758"/>
      <c r="P862" s="758"/>
      <c r="Q862" s="758"/>
      <c r="T862" s="758"/>
      <c r="U862" s="758"/>
      <c r="V862" s="760"/>
      <c r="W862" s="758"/>
      <c r="X862" s="758"/>
    </row>
    <row r="863" spans="1:24">
      <c r="A863" s="755"/>
      <c r="B863" s="755"/>
      <c r="C863" s="756"/>
      <c r="D863" s="755"/>
      <c r="E863" s="755"/>
      <c r="F863" s="756"/>
      <c r="G863" s="755"/>
      <c r="H863" s="755"/>
      <c r="I863" s="757"/>
      <c r="J863" s="755"/>
      <c r="K863" s="756"/>
      <c r="L863" s="758"/>
      <c r="M863" s="758"/>
      <c r="N863" s="758"/>
      <c r="O863" s="758"/>
      <c r="P863" s="758"/>
      <c r="Q863" s="758"/>
      <c r="T863" s="758"/>
      <c r="U863" s="758"/>
      <c r="V863" s="760"/>
      <c r="W863" s="758"/>
      <c r="X863" s="758"/>
    </row>
    <row r="864" spans="1:24">
      <c r="A864" s="755"/>
      <c r="B864" s="755"/>
      <c r="C864" s="756"/>
      <c r="D864" s="755"/>
      <c r="E864" s="755"/>
      <c r="F864" s="756"/>
      <c r="G864" s="755"/>
      <c r="H864" s="755"/>
      <c r="I864" s="757"/>
      <c r="J864" s="755"/>
      <c r="K864" s="756"/>
      <c r="L864" s="758"/>
      <c r="M864" s="758"/>
      <c r="N864" s="758"/>
      <c r="O864" s="758"/>
      <c r="P864" s="758"/>
      <c r="Q864" s="758"/>
      <c r="T864" s="758"/>
      <c r="U864" s="758"/>
      <c r="V864" s="760"/>
      <c r="W864" s="758"/>
      <c r="X864" s="758"/>
    </row>
    <row r="865" spans="1:24">
      <c r="A865" s="755"/>
      <c r="B865" s="755"/>
      <c r="C865" s="756"/>
      <c r="D865" s="755"/>
      <c r="E865" s="755"/>
      <c r="F865" s="756"/>
      <c r="G865" s="755"/>
      <c r="H865" s="755"/>
      <c r="I865" s="757"/>
      <c r="J865" s="755"/>
      <c r="K865" s="756"/>
      <c r="L865" s="758"/>
      <c r="M865" s="758"/>
      <c r="N865" s="758"/>
      <c r="O865" s="758"/>
      <c r="P865" s="758"/>
      <c r="Q865" s="758"/>
      <c r="T865" s="758"/>
      <c r="U865" s="758"/>
      <c r="V865" s="760"/>
      <c r="W865" s="758"/>
      <c r="X865" s="758"/>
    </row>
    <row r="866" spans="1:24">
      <c r="A866" s="755"/>
      <c r="B866" s="755"/>
      <c r="C866" s="756"/>
      <c r="D866" s="755"/>
      <c r="E866" s="755"/>
      <c r="F866" s="756"/>
      <c r="G866" s="755"/>
      <c r="H866" s="755"/>
      <c r="I866" s="757"/>
      <c r="J866" s="755"/>
      <c r="K866" s="756"/>
      <c r="L866" s="758"/>
      <c r="M866" s="758"/>
      <c r="N866" s="758"/>
      <c r="O866" s="758"/>
      <c r="P866" s="758"/>
      <c r="Q866" s="758"/>
      <c r="T866" s="758"/>
      <c r="U866" s="758"/>
      <c r="V866" s="760"/>
      <c r="W866" s="758"/>
      <c r="X866" s="758"/>
    </row>
    <row r="867" spans="1:24">
      <c r="A867" s="755"/>
      <c r="B867" s="755"/>
      <c r="C867" s="756"/>
      <c r="D867" s="755"/>
      <c r="E867" s="755"/>
      <c r="F867" s="756"/>
      <c r="G867" s="755"/>
      <c r="H867" s="755"/>
      <c r="I867" s="757"/>
      <c r="J867" s="755"/>
      <c r="K867" s="756"/>
      <c r="L867" s="758"/>
      <c r="M867" s="758"/>
      <c r="N867" s="758"/>
      <c r="O867" s="758"/>
      <c r="P867" s="758"/>
      <c r="Q867" s="758"/>
      <c r="T867" s="758"/>
      <c r="U867" s="758"/>
      <c r="V867" s="760"/>
      <c r="W867" s="758"/>
      <c r="X867" s="758"/>
    </row>
    <row r="868" spans="1:24">
      <c r="A868" s="755"/>
      <c r="B868" s="755"/>
      <c r="C868" s="756"/>
      <c r="D868" s="755"/>
      <c r="E868" s="755"/>
      <c r="F868" s="756"/>
      <c r="G868" s="755"/>
      <c r="H868" s="755"/>
      <c r="I868" s="757"/>
      <c r="J868" s="755"/>
      <c r="K868" s="756"/>
      <c r="L868" s="758"/>
      <c r="M868" s="758"/>
      <c r="N868" s="758"/>
      <c r="O868" s="758"/>
      <c r="P868" s="758"/>
      <c r="Q868" s="758"/>
      <c r="T868" s="758"/>
      <c r="U868" s="758"/>
      <c r="V868" s="760"/>
      <c r="W868" s="758"/>
      <c r="X868" s="758"/>
    </row>
    <row r="869" spans="1:24">
      <c r="A869" s="755"/>
      <c r="B869" s="755"/>
      <c r="C869" s="756"/>
      <c r="D869" s="755"/>
      <c r="E869" s="755"/>
      <c r="F869" s="756"/>
      <c r="G869" s="755"/>
      <c r="H869" s="755"/>
      <c r="I869" s="757"/>
      <c r="J869" s="755"/>
      <c r="K869" s="756"/>
      <c r="L869" s="758"/>
      <c r="M869" s="758"/>
      <c r="N869" s="758"/>
      <c r="O869" s="758"/>
      <c r="P869" s="758"/>
      <c r="Q869" s="758"/>
      <c r="T869" s="758"/>
      <c r="U869" s="758"/>
      <c r="V869" s="760"/>
      <c r="W869" s="758"/>
      <c r="X869" s="758"/>
    </row>
    <row r="870" spans="1:24">
      <c r="A870" s="755"/>
      <c r="B870" s="755"/>
      <c r="C870" s="756"/>
      <c r="D870" s="755"/>
      <c r="E870" s="755"/>
      <c r="F870" s="756"/>
      <c r="G870" s="755"/>
      <c r="H870" s="755"/>
      <c r="I870" s="757"/>
      <c r="J870" s="755"/>
      <c r="K870" s="756"/>
      <c r="L870" s="758"/>
      <c r="M870" s="758"/>
      <c r="N870" s="758"/>
      <c r="O870" s="758"/>
      <c r="P870" s="758"/>
      <c r="Q870" s="758"/>
      <c r="T870" s="758"/>
      <c r="U870" s="758"/>
      <c r="V870" s="760"/>
      <c r="W870" s="758"/>
      <c r="X870" s="758"/>
    </row>
    <row r="871" spans="1:24">
      <c r="A871" s="755"/>
      <c r="B871" s="755"/>
      <c r="C871" s="756"/>
      <c r="D871" s="755"/>
      <c r="E871" s="755"/>
      <c r="F871" s="756"/>
      <c r="G871" s="755"/>
      <c r="H871" s="755"/>
      <c r="I871" s="757"/>
      <c r="J871" s="755"/>
      <c r="K871" s="756"/>
      <c r="L871" s="758"/>
      <c r="M871" s="758"/>
      <c r="N871" s="758"/>
      <c r="O871" s="758"/>
      <c r="P871" s="758"/>
      <c r="Q871" s="758"/>
      <c r="T871" s="758"/>
      <c r="U871" s="758"/>
      <c r="V871" s="760"/>
      <c r="W871" s="758"/>
      <c r="X871" s="758"/>
    </row>
    <row r="872" spans="1:24">
      <c r="A872" s="755"/>
      <c r="B872" s="755"/>
      <c r="C872" s="756"/>
      <c r="D872" s="755"/>
      <c r="E872" s="755"/>
      <c r="F872" s="756"/>
      <c r="G872" s="755"/>
      <c r="H872" s="755"/>
      <c r="I872" s="757"/>
      <c r="J872" s="755"/>
      <c r="K872" s="756"/>
      <c r="L872" s="758"/>
      <c r="M872" s="758"/>
      <c r="N872" s="758"/>
      <c r="O872" s="758"/>
      <c r="P872" s="758"/>
      <c r="Q872" s="758"/>
      <c r="T872" s="758"/>
      <c r="U872" s="758"/>
      <c r="V872" s="760"/>
      <c r="W872" s="758"/>
      <c r="X872" s="758"/>
    </row>
    <row r="873" spans="1:24">
      <c r="A873" s="755"/>
      <c r="B873" s="755"/>
      <c r="C873" s="756"/>
      <c r="D873" s="755"/>
      <c r="E873" s="755"/>
      <c r="F873" s="756"/>
      <c r="G873" s="755"/>
      <c r="H873" s="755"/>
      <c r="I873" s="757"/>
      <c r="J873" s="755"/>
      <c r="K873" s="756"/>
      <c r="L873" s="758"/>
      <c r="M873" s="758"/>
      <c r="N873" s="758"/>
      <c r="O873" s="758"/>
      <c r="P873" s="758"/>
      <c r="Q873" s="758"/>
      <c r="T873" s="758"/>
      <c r="U873" s="758"/>
      <c r="V873" s="760"/>
      <c r="W873" s="758"/>
      <c r="X873" s="758"/>
    </row>
    <row r="874" spans="1:24">
      <c r="A874" s="755"/>
      <c r="B874" s="755"/>
      <c r="C874" s="756"/>
      <c r="D874" s="755"/>
      <c r="E874" s="755"/>
      <c r="F874" s="756"/>
      <c r="G874" s="755"/>
      <c r="H874" s="755"/>
      <c r="I874" s="757"/>
      <c r="J874" s="755"/>
      <c r="K874" s="756"/>
      <c r="L874" s="758"/>
      <c r="M874" s="758"/>
      <c r="N874" s="758"/>
      <c r="O874" s="758"/>
      <c r="P874" s="758"/>
      <c r="Q874" s="758"/>
      <c r="T874" s="758"/>
      <c r="U874" s="758"/>
      <c r="V874" s="760"/>
      <c r="W874" s="758"/>
      <c r="X874" s="758"/>
    </row>
    <row r="875" spans="1:24">
      <c r="A875" s="755"/>
      <c r="B875" s="755"/>
      <c r="C875" s="756"/>
      <c r="D875" s="755"/>
      <c r="E875" s="755"/>
      <c r="F875" s="756"/>
      <c r="G875" s="755"/>
      <c r="H875" s="755"/>
      <c r="I875" s="757"/>
      <c r="J875" s="755"/>
      <c r="K875" s="756"/>
      <c r="L875" s="758"/>
      <c r="M875" s="758"/>
      <c r="N875" s="758"/>
      <c r="O875" s="758"/>
      <c r="P875" s="758"/>
      <c r="Q875" s="758"/>
      <c r="T875" s="758"/>
      <c r="U875" s="758"/>
      <c r="V875" s="760"/>
      <c r="W875" s="758"/>
      <c r="X875" s="758"/>
    </row>
    <row r="876" spans="1:24">
      <c r="A876" s="755"/>
      <c r="B876" s="755"/>
      <c r="C876" s="756"/>
      <c r="D876" s="755"/>
      <c r="E876" s="755"/>
      <c r="F876" s="756"/>
      <c r="G876" s="755"/>
      <c r="H876" s="755"/>
      <c r="I876" s="757"/>
      <c r="J876" s="755"/>
      <c r="K876" s="756"/>
      <c r="L876" s="758"/>
      <c r="M876" s="758"/>
      <c r="N876" s="758"/>
      <c r="O876" s="758"/>
      <c r="P876" s="758"/>
      <c r="Q876" s="758"/>
      <c r="T876" s="758"/>
      <c r="U876" s="758"/>
      <c r="V876" s="760"/>
      <c r="W876" s="758"/>
      <c r="X876" s="758"/>
    </row>
    <row r="877" spans="1:24">
      <c r="A877" s="755"/>
      <c r="B877" s="755"/>
      <c r="C877" s="756"/>
      <c r="D877" s="755"/>
      <c r="E877" s="755"/>
      <c r="F877" s="756"/>
      <c r="G877" s="755"/>
      <c r="H877" s="755"/>
      <c r="I877" s="757"/>
      <c r="J877" s="755"/>
      <c r="K877" s="756"/>
      <c r="L877" s="758"/>
      <c r="M877" s="758"/>
      <c r="N877" s="758"/>
      <c r="O877" s="758"/>
      <c r="P877" s="758"/>
      <c r="Q877" s="758"/>
      <c r="T877" s="758"/>
      <c r="U877" s="758"/>
      <c r="V877" s="760"/>
      <c r="W877" s="758"/>
      <c r="X877" s="758"/>
    </row>
    <row r="878" spans="1:24">
      <c r="A878" s="755"/>
      <c r="B878" s="755"/>
      <c r="C878" s="756"/>
      <c r="D878" s="755"/>
      <c r="E878" s="755"/>
      <c r="F878" s="756"/>
      <c r="G878" s="755"/>
      <c r="H878" s="755"/>
      <c r="I878" s="757"/>
      <c r="J878" s="755"/>
      <c r="K878" s="756"/>
      <c r="L878" s="758"/>
      <c r="M878" s="758"/>
      <c r="N878" s="758"/>
      <c r="O878" s="758"/>
      <c r="P878" s="758"/>
      <c r="Q878" s="758"/>
      <c r="T878" s="758"/>
      <c r="U878" s="758"/>
      <c r="V878" s="760"/>
      <c r="W878" s="758"/>
      <c r="X878" s="758"/>
    </row>
    <row r="879" spans="1:24">
      <c r="A879" s="755"/>
      <c r="B879" s="755"/>
      <c r="C879" s="756"/>
      <c r="D879" s="755"/>
      <c r="E879" s="755"/>
      <c r="F879" s="756"/>
      <c r="G879" s="755"/>
      <c r="H879" s="755"/>
      <c r="I879" s="757"/>
      <c r="J879" s="755"/>
      <c r="K879" s="756"/>
      <c r="L879" s="758"/>
      <c r="M879" s="758"/>
      <c r="N879" s="758"/>
      <c r="O879" s="758"/>
      <c r="P879" s="758"/>
      <c r="Q879" s="758"/>
      <c r="T879" s="758"/>
      <c r="U879" s="758"/>
      <c r="V879" s="760"/>
      <c r="W879" s="758"/>
      <c r="X879" s="758"/>
    </row>
    <row r="880" spans="1:24">
      <c r="A880" s="755"/>
      <c r="B880" s="755"/>
      <c r="C880" s="756"/>
      <c r="D880" s="755"/>
      <c r="E880" s="755"/>
      <c r="F880" s="756"/>
      <c r="G880" s="755"/>
      <c r="H880" s="755"/>
      <c r="I880" s="757"/>
      <c r="J880" s="755"/>
      <c r="K880" s="756"/>
      <c r="L880" s="758"/>
      <c r="M880" s="758"/>
      <c r="N880" s="758"/>
      <c r="O880" s="758"/>
      <c r="P880" s="758"/>
      <c r="Q880" s="758"/>
      <c r="T880" s="758"/>
      <c r="U880" s="758"/>
      <c r="V880" s="760"/>
      <c r="W880" s="758"/>
      <c r="X880" s="758"/>
    </row>
    <row r="881" spans="1:24">
      <c r="A881" s="755"/>
      <c r="B881" s="755"/>
      <c r="C881" s="756"/>
      <c r="D881" s="755"/>
      <c r="E881" s="755"/>
      <c r="F881" s="756"/>
      <c r="G881" s="755"/>
      <c r="H881" s="755"/>
      <c r="I881" s="757"/>
      <c r="J881" s="755"/>
      <c r="K881" s="756"/>
      <c r="L881" s="758"/>
      <c r="M881" s="758"/>
      <c r="N881" s="758"/>
      <c r="O881" s="758"/>
      <c r="P881" s="758"/>
      <c r="Q881" s="758"/>
      <c r="T881" s="758"/>
      <c r="U881" s="758"/>
      <c r="V881" s="760"/>
      <c r="W881" s="758"/>
      <c r="X881" s="758"/>
    </row>
    <row r="882" spans="1:24">
      <c r="A882" s="755"/>
      <c r="B882" s="755"/>
      <c r="C882" s="756"/>
      <c r="D882" s="755"/>
      <c r="E882" s="755"/>
      <c r="F882" s="756"/>
      <c r="G882" s="755"/>
      <c r="H882" s="755"/>
      <c r="I882" s="757"/>
      <c r="J882" s="755"/>
      <c r="K882" s="756"/>
      <c r="L882" s="758"/>
      <c r="M882" s="758"/>
      <c r="N882" s="758"/>
      <c r="O882" s="758"/>
      <c r="P882" s="758"/>
      <c r="Q882" s="758"/>
      <c r="T882" s="758"/>
      <c r="U882" s="758"/>
      <c r="V882" s="760"/>
      <c r="W882" s="758"/>
      <c r="X882" s="758"/>
    </row>
    <row r="883" spans="1:24">
      <c r="A883" s="755"/>
      <c r="B883" s="755"/>
      <c r="C883" s="756"/>
      <c r="D883" s="755"/>
      <c r="E883" s="755"/>
      <c r="F883" s="756"/>
      <c r="G883" s="755"/>
      <c r="H883" s="755"/>
      <c r="I883" s="757"/>
      <c r="J883" s="755"/>
      <c r="K883" s="756"/>
      <c r="L883" s="758"/>
      <c r="M883" s="758"/>
      <c r="N883" s="758"/>
      <c r="O883" s="758"/>
      <c r="P883" s="758"/>
      <c r="Q883" s="758"/>
      <c r="T883" s="758"/>
      <c r="U883" s="758"/>
      <c r="V883" s="760"/>
      <c r="W883" s="758"/>
      <c r="X883" s="758"/>
    </row>
    <row r="884" spans="1:24">
      <c r="A884" s="755"/>
      <c r="B884" s="755"/>
      <c r="C884" s="756"/>
      <c r="D884" s="755"/>
      <c r="E884" s="755"/>
      <c r="F884" s="756"/>
      <c r="G884" s="755"/>
      <c r="H884" s="755"/>
      <c r="I884" s="757"/>
      <c r="J884" s="755"/>
      <c r="K884" s="756"/>
      <c r="L884" s="758"/>
      <c r="M884" s="758"/>
      <c r="N884" s="758"/>
      <c r="O884" s="758"/>
      <c r="P884" s="758"/>
      <c r="Q884" s="758"/>
      <c r="T884" s="758"/>
      <c r="U884" s="758"/>
      <c r="V884" s="760"/>
      <c r="W884" s="758"/>
      <c r="X884" s="758"/>
    </row>
    <row r="885" spans="1:24">
      <c r="A885" s="755"/>
      <c r="B885" s="755"/>
      <c r="C885" s="756"/>
      <c r="D885" s="755"/>
      <c r="E885" s="755"/>
      <c r="F885" s="756"/>
      <c r="G885" s="755"/>
      <c r="H885" s="755"/>
      <c r="I885" s="757"/>
      <c r="J885" s="755"/>
      <c r="K885" s="756"/>
      <c r="L885" s="758"/>
      <c r="M885" s="758"/>
      <c r="N885" s="758"/>
      <c r="O885" s="758"/>
      <c r="P885" s="758"/>
      <c r="Q885" s="758"/>
      <c r="T885" s="758"/>
      <c r="U885" s="758"/>
      <c r="V885" s="760"/>
      <c r="W885" s="758"/>
      <c r="X885" s="758"/>
    </row>
    <row r="886" spans="1:24">
      <c r="A886" s="755"/>
      <c r="B886" s="755"/>
      <c r="C886" s="756"/>
      <c r="D886" s="755"/>
      <c r="E886" s="755"/>
      <c r="F886" s="756"/>
      <c r="G886" s="755"/>
      <c r="H886" s="755"/>
      <c r="I886" s="757"/>
      <c r="J886" s="755"/>
      <c r="K886" s="756"/>
      <c r="L886" s="758"/>
      <c r="M886" s="758"/>
      <c r="N886" s="758"/>
      <c r="O886" s="758"/>
      <c r="P886" s="758"/>
      <c r="Q886" s="758"/>
      <c r="T886" s="758"/>
      <c r="U886" s="758"/>
      <c r="V886" s="760"/>
      <c r="W886" s="758"/>
      <c r="X886" s="758"/>
    </row>
    <row r="887" spans="1:24">
      <c r="A887" s="755"/>
      <c r="B887" s="755"/>
      <c r="C887" s="756"/>
      <c r="D887" s="755"/>
      <c r="E887" s="755"/>
      <c r="F887" s="756"/>
      <c r="G887" s="755"/>
      <c r="H887" s="755"/>
      <c r="I887" s="757"/>
      <c r="J887" s="755"/>
      <c r="K887" s="756"/>
      <c r="L887" s="758"/>
      <c r="M887" s="758"/>
      <c r="N887" s="758"/>
      <c r="O887" s="758"/>
      <c r="P887" s="758"/>
      <c r="Q887" s="758"/>
      <c r="T887" s="758"/>
      <c r="U887" s="758"/>
      <c r="V887" s="760"/>
      <c r="W887" s="758"/>
      <c r="X887" s="758"/>
    </row>
    <row r="888" spans="1:24">
      <c r="A888" s="755"/>
      <c r="B888" s="755"/>
      <c r="C888" s="756"/>
      <c r="D888" s="755"/>
      <c r="E888" s="755"/>
      <c r="F888" s="756"/>
      <c r="G888" s="755"/>
      <c r="H888" s="755"/>
      <c r="I888" s="757"/>
      <c r="J888" s="755"/>
      <c r="K888" s="756"/>
      <c r="L888" s="758"/>
      <c r="M888" s="758"/>
      <c r="N888" s="758"/>
      <c r="O888" s="758"/>
      <c r="P888" s="758"/>
      <c r="Q888" s="758"/>
      <c r="T888" s="758"/>
      <c r="U888" s="758"/>
      <c r="V888" s="760"/>
      <c r="W888" s="758"/>
      <c r="X888" s="758"/>
    </row>
    <row r="889" spans="1:24">
      <c r="A889" s="755"/>
      <c r="B889" s="755"/>
      <c r="C889" s="756"/>
      <c r="D889" s="755"/>
      <c r="E889" s="755"/>
      <c r="F889" s="756"/>
      <c r="G889" s="755"/>
      <c r="H889" s="755"/>
      <c r="I889" s="757"/>
      <c r="J889" s="755"/>
      <c r="K889" s="756"/>
      <c r="L889" s="758"/>
      <c r="M889" s="758"/>
      <c r="N889" s="758"/>
      <c r="O889" s="758"/>
      <c r="P889" s="758"/>
      <c r="Q889" s="758"/>
      <c r="T889" s="758"/>
      <c r="U889" s="758"/>
      <c r="V889" s="760"/>
      <c r="W889" s="758"/>
      <c r="X889" s="758"/>
    </row>
    <row r="890" spans="1:24">
      <c r="A890" s="755"/>
      <c r="B890" s="755"/>
      <c r="C890" s="756"/>
      <c r="D890" s="755"/>
      <c r="E890" s="755"/>
      <c r="F890" s="756"/>
      <c r="G890" s="755"/>
      <c r="H890" s="755"/>
      <c r="I890" s="757"/>
      <c r="J890" s="755"/>
      <c r="K890" s="756"/>
      <c r="L890" s="758"/>
      <c r="M890" s="758"/>
      <c r="N890" s="758"/>
      <c r="O890" s="758"/>
      <c r="P890" s="758"/>
      <c r="Q890" s="758"/>
      <c r="T890" s="758"/>
      <c r="U890" s="758"/>
      <c r="V890" s="760"/>
      <c r="W890" s="758"/>
      <c r="X890" s="758"/>
    </row>
    <row r="891" spans="1:24">
      <c r="A891" s="755"/>
      <c r="B891" s="755"/>
      <c r="C891" s="756"/>
      <c r="D891" s="755"/>
      <c r="E891" s="755"/>
      <c r="F891" s="756"/>
      <c r="G891" s="755"/>
      <c r="H891" s="755"/>
      <c r="I891" s="757"/>
      <c r="J891" s="755"/>
      <c r="K891" s="756"/>
      <c r="L891" s="758"/>
      <c r="M891" s="758"/>
      <c r="N891" s="758"/>
      <c r="O891" s="758"/>
      <c r="P891" s="758"/>
      <c r="Q891" s="758"/>
      <c r="T891" s="758"/>
      <c r="U891" s="758"/>
      <c r="V891" s="760"/>
      <c r="W891" s="758"/>
      <c r="X891" s="758"/>
    </row>
    <row r="892" spans="1:24">
      <c r="A892" s="755"/>
      <c r="B892" s="755"/>
      <c r="C892" s="756"/>
      <c r="D892" s="755"/>
      <c r="E892" s="755"/>
      <c r="F892" s="756"/>
      <c r="G892" s="755"/>
      <c r="H892" s="755"/>
      <c r="I892" s="757"/>
      <c r="J892" s="755"/>
      <c r="K892" s="756"/>
      <c r="L892" s="758"/>
      <c r="M892" s="758"/>
      <c r="N892" s="758"/>
      <c r="O892" s="758"/>
      <c r="P892" s="758"/>
      <c r="Q892" s="758"/>
      <c r="T892" s="758"/>
      <c r="U892" s="758"/>
      <c r="V892" s="760"/>
      <c r="W892" s="758"/>
      <c r="X892" s="758"/>
    </row>
    <row r="893" spans="1:24">
      <c r="A893" s="755"/>
      <c r="B893" s="755"/>
      <c r="C893" s="756"/>
      <c r="D893" s="755"/>
      <c r="E893" s="755"/>
      <c r="F893" s="756"/>
      <c r="G893" s="755"/>
      <c r="H893" s="755"/>
      <c r="I893" s="757"/>
      <c r="J893" s="755"/>
      <c r="K893" s="756"/>
      <c r="L893" s="758"/>
      <c r="M893" s="758"/>
      <c r="N893" s="758"/>
      <c r="O893" s="758"/>
      <c r="P893" s="758"/>
      <c r="Q893" s="758"/>
      <c r="T893" s="758"/>
      <c r="U893" s="758"/>
      <c r="V893" s="760"/>
      <c r="W893" s="758"/>
      <c r="X893" s="758"/>
    </row>
    <row r="894" spans="1:24">
      <c r="A894" s="755"/>
      <c r="B894" s="755"/>
      <c r="C894" s="756"/>
      <c r="D894" s="755"/>
      <c r="E894" s="755"/>
      <c r="F894" s="756"/>
      <c r="G894" s="755"/>
      <c r="H894" s="755"/>
      <c r="I894" s="757"/>
      <c r="J894" s="755"/>
      <c r="K894" s="756"/>
      <c r="L894" s="758"/>
      <c r="M894" s="758"/>
      <c r="N894" s="758"/>
      <c r="O894" s="758"/>
      <c r="P894" s="758"/>
      <c r="Q894" s="758"/>
      <c r="T894" s="758"/>
      <c r="U894" s="758"/>
      <c r="V894" s="760"/>
      <c r="W894" s="758"/>
      <c r="X894" s="758"/>
    </row>
    <row r="895" spans="1:24">
      <c r="A895" s="755"/>
      <c r="B895" s="755"/>
      <c r="C895" s="756"/>
      <c r="D895" s="755"/>
      <c r="E895" s="755"/>
      <c r="F895" s="756"/>
      <c r="G895" s="755"/>
      <c r="H895" s="755"/>
      <c r="I895" s="757"/>
      <c r="J895" s="755"/>
      <c r="K895" s="756"/>
      <c r="L895" s="758"/>
      <c r="M895" s="758"/>
      <c r="N895" s="758"/>
      <c r="O895" s="758"/>
      <c r="P895" s="758"/>
      <c r="Q895" s="758"/>
      <c r="T895" s="758"/>
      <c r="U895" s="758"/>
      <c r="V895" s="760"/>
      <c r="W895" s="758"/>
      <c r="X895" s="758"/>
    </row>
    <row r="896" spans="1:24">
      <c r="A896" s="755"/>
      <c r="B896" s="755"/>
      <c r="C896" s="756"/>
      <c r="D896" s="755"/>
      <c r="E896" s="755"/>
      <c r="F896" s="756"/>
      <c r="G896" s="755"/>
      <c r="H896" s="755"/>
      <c r="I896" s="757"/>
      <c r="J896" s="755"/>
      <c r="K896" s="756"/>
      <c r="L896" s="758"/>
      <c r="M896" s="758"/>
      <c r="N896" s="758"/>
      <c r="O896" s="758"/>
      <c r="P896" s="758"/>
      <c r="Q896" s="758"/>
      <c r="T896" s="758"/>
      <c r="U896" s="758"/>
      <c r="V896" s="760"/>
      <c r="W896" s="758"/>
      <c r="X896" s="758"/>
    </row>
    <row r="897" spans="1:24">
      <c r="A897" s="755"/>
      <c r="B897" s="755"/>
      <c r="C897" s="756"/>
      <c r="D897" s="755"/>
      <c r="E897" s="755"/>
      <c r="F897" s="756"/>
      <c r="G897" s="755"/>
      <c r="H897" s="755"/>
      <c r="I897" s="757"/>
      <c r="J897" s="755"/>
      <c r="K897" s="756"/>
      <c r="L897" s="758"/>
      <c r="M897" s="758"/>
      <c r="N897" s="758"/>
      <c r="O897" s="758"/>
      <c r="P897" s="758"/>
      <c r="Q897" s="758"/>
      <c r="T897" s="758"/>
      <c r="U897" s="758"/>
      <c r="V897" s="760"/>
      <c r="W897" s="758"/>
      <c r="X897" s="758"/>
    </row>
    <row r="898" spans="1:24">
      <c r="A898" s="755"/>
      <c r="B898" s="755"/>
      <c r="C898" s="756"/>
      <c r="D898" s="755"/>
      <c r="E898" s="755"/>
      <c r="F898" s="756"/>
      <c r="G898" s="755"/>
      <c r="H898" s="755"/>
      <c r="I898" s="757"/>
      <c r="J898" s="755"/>
      <c r="K898" s="756"/>
      <c r="L898" s="758"/>
      <c r="M898" s="758"/>
      <c r="N898" s="758"/>
      <c r="O898" s="758"/>
      <c r="P898" s="758"/>
      <c r="Q898" s="758"/>
      <c r="T898" s="758"/>
      <c r="U898" s="758"/>
      <c r="V898" s="760"/>
      <c r="W898" s="758"/>
      <c r="X898" s="758"/>
    </row>
    <row r="899" spans="1:24">
      <c r="A899" s="755"/>
      <c r="B899" s="755"/>
      <c r="C899" s="756"/>
      <c r="D899" s="755"/>
      <c r="E899" s="755"/>
      <c r="F899" s="756"/>
      <c r="G899" s="755"/>
      <c r="H899" s="755"/>
      <c r="I899" s="757"/>
      <c r="J899" s="755"/>
      <c r="K899" s="756"/>
      <c r="L899" s="758"/>
      <c r="M899" s="758"/>
      <c r="N899" s="758"/>
      <c r="O899" s="758"/>
      <c r="P899" s="758"/>
      <c r="Q899" s="758"/>
      <c r="T899" s="758"/>
      <c r="U899" s="758"/>
      <c r="V899" s="760"/>
      <c r="W899" s="758"/>
      <c r="X899" s="758"/>
    </row>
    <row r="900" spans="1:24">
      <c r="A900" s="755"/>
      <c r="B900" s="755"/>
      <c r="C900" s="756"/>
      <c r="D900" s="755"/>
      <c r="E900" s="755"/>
      <c r="F900" s="756"/>
      <c r="G900" s="755"/>
      <c r="H900" s="755"/>
      <c r="I900" s="757"/>
      <c r="J900" s="755"/>
      <c r="K900" s="756"/>
      <c r="L900" s="758"/>
      <c r="M900" s="758"/>
      <c r="N900" s="758"/>
      <c r="O900" s="758"/>
      <c r="P900" s="758"/>
      <c r="Q900" s="758"/>
      <c r="T900" s="758"/>
      <c r="U900" s="758"/>
      <c r="V900" s="760"/>
      <c r="W900" s="758"/>
      <c r="X900" s="758"/>
    </row>
    <row r="901" spans="1:24">
      <c r="A901" s="755"/>
      <c r="B901" s="755"/>
      <c r="C901" s="756"/>
      <c r="D901" s="755"/>
      <c r="E901" s="755"/>
      <c r="F901" s="756"/>
      <c r="G901" s="755"/>
      <c r="H901" s="755"/>
      <c r="I901" s="757"/>
      <c r="J901" s="755"/>
      <c r="K901" s="756"/>
      <c r="L901" s="758"/>
      <c r="M901" s="758"/>
      <c r="N901" s="758"/>
      <c r="O901" s="758"/>
      <c r="P901" s="758"/>
      <c r="Q901" s="758"/>
      <c r="T901" s="758"/>
      <c r="U901" s="758"/>
      <c r="V901" s="760"/>
      <c r="W901" s="758"/>
      <c r="X901" s="758"/>
    </row>
    <row r="902" spans="1:24">
      <c r="A902" s="755"/>
      <c r="B902" s="755"/>
      <c r="C902" s="756"/>
      <c r="D902" s="755"/>
      <c r="E902" s="755"/>
      <c r="F902" s="756"/>
      <c r="G902" s="755"/>
      <c r="H902" s="755"/>
      <c r="I902" s="757"/>
      <c r="J902" s="755"/>
      <c r="K902" s="756"/>
      <c r="L902" s="758"/>
      <c r="M902" s="758"/>
      <c r="N902" s="758"/>
      <c r="O902" s="758"/>
      <c r="P902" s="758"/>
      <c r="Q902" s="758"/>
      <c r="T902" s="758"/>
      <c r="U902" s="758"/>
      <c r="V902" s="760"/>
      <c r="W902" s="758"/>
      <c r="X902" s="758"/>
    </row>
    <row r="903" spans="1:24">
      <c r="A903" s="755"/>
      <c r="B903" s="755"/>
      <c r="C903" s="756"/>
      <c r="D903" s="755"/>
      <c r="E903" s="755"/>
      <c r="F903" s="756"/>
      <c r="G903" s="755"/>
      <c r="H903" s="755"/>
      <c r="I903" s="757"/>
      <c r="J903" s="755"/>
      <c r="K903" s="756"/>
      <c r="L903" s="758"/>
      <c r="M903" s="758"/>
      <c r="N903" s="758"/>
      <c r="O903" s="758"/>
      <c r="P903" s="758"/>
      <c r="Q903" s="758"/>
      <c r="T903" s="758"/>
      <c r="U903" s="758"/>
      <c r="V903" s="760"/>
      <c r="W903" s="758"/>
      <c r="X903" s="758"/>
    </row>
    <row r="904" spans="1:24">
      <c r="A904" s="755"/>
      <c r="B904" s="755"/>
      <c r="C904" s="756"/>
      <c r="D904" s="755"/>
      <c r="E904" s="755"/>
      <c r="F904" s="756"/>
      <c r="G904" s="755"/>
      <c r="H904" s="755"/>
      <c r="I904" s="757"/>
      <c r="J904" s="755"/>
      <c r="K904" s="756"/>
      <c r="L904" s="758"/>
      <c r="M904" s="758"/>
      <c r="N904" s="758"/>
      <c r="O904" s="758"/>
      <c r="P904" s="758"/>
      <c r="Q904" s="758"/>
      <c r="T904" s="758"/>
      <c r="U904" s="758"/>
      <c r="V904" s="760"/>
      <c r="W904" s="758"/>
      <c r="X904" s="758"/>
    </row>
    <row r="905" spans="1:24">
      <c r="A905" s="755"/>
      <c r="B905" s="755"/>
      <c r="C905" s="756"/>
      <c r="D905" s="755"/>
      <c r="E905" s="755"/>
      <c r="F905" s="756"/>
      <c r="G905" s="755"/>
      <c r="H905" s="755"/>
      <c r="I905" s="757"/>
      <c r="J905" s="755"/>
      <c r="K905" s="756"/>
      <c r="L905" s="758"/>
      <c r="M905" s="758"/>
      <c r="N905" s="758"/>
      <c r="O905" s="758"/>
      <c r="P905" s="758"/>
      <c r="Q905" s="758"/>
      <c r="T905" s="758"/>
      <c r="U905" s="758"/>
      <c r="V905" s="760"/>
      <c r="W905" s="758"/>
      <c r="X905" s="758"/>
    </row>
    <row r="906" spans="1:24">
      <c r="A906" s="755"/>
      <c r="B906" s="755"/>
      <c r="C906" s="756"/>
      <c r="D906" s="755"/>
      <c r="E906" s="755"/>
      <c r="F906" s="756"/>
      <c r="G906" s="755"/>
      <c r="H906" s="755"/>
      <c r="I906" s="757"/>
      <c r="J906" s="755"/>
      <c r="K906" s="756"/>
      <c r="L906" s="758"/>
      <c r="M906" s="758"/>
      <c r="N906" s="758"/>
      <c r="O906" s="758"/>
      <c r="P906" s="758"/>
      <c r="Q906" s="758"/>
      <c r="T906" s="758"/>
      <c r="U906" s="758"/>
      <c r="V906" s="760"/>
      <c r="W906" s="758"/>
      <c r="X906" s="758"/>
    </row>
    <row r="907" spans="1:24">
      <c r="A907" s="755"/>
      <c r="B907" s="755"/>
      <c r="C907" s="756"/>
      <c r="D907" s="755"/>
      <c r="E907" s="755"/>
      <c r="F907" s="756"/>
      <c r="G907" s="755"/>
      <c r="H907" s="755"/>
      <c r="I907" s="757"/>
      <c r="J907" s="755"/>
      <c r="K907" s="756"/>
      <c r="L907" s="758"/>
      <c r="M907" s="758"/>
      <c r="N907" s="758"/>
      <c r="O907" s="758"/>
      <c r="P907" s="758"/>
      <c r="Q907" s="758"/>
      <c r="T907" s="758"/>
      <c r="U907" s="758"/>
      <c r="V907" s="760"/>
      <c r="W907" s="758"/>
      <c r="X907" s="758"/>
    </row>
    <row r="908" spans="1:24">
      <c r="A908" s="755"/>
      <c r="B908" s="755"/>
      <c r="C908" s="756"/>
      <c r="D908" s="755"/>
      <c r="E908" s="755"/>
      <c r="F908" s="756"/>
      <c r="G908" s="755"/>
      <c r="H908" s="755"/>
      <c r="I908" s="757"/>
      <c r="J908" s="755"/>
      <c r="K908" s="756"/>
      <c r="L908" s="758"/>
      <c r="M908" s="758"/>
      <c r="N908" s="758"/>
      <c r="O908" s="758"/>
      <c r="P908" s="758"/>
      <c r="Q908" s="758"/>
      <c r="T908" s="758"/>
      <c r="U908" s="758"/>
      <c r="V908" s="760"/>
      <c r="W908" s="758"/>
      <c r="X908" s="758"/>
    </row>
    <row r="909" spans="1:24">
      <c r="A909" s="755"/>
      <c r="B909" s="755"/>
      <c r="C909" s="756"/>
      <c r="D909" s="755"/>
      <c r="E909" s="755"/>
      <c r="F909" s="756"/>
      <c r="G909" s="755"/>
      <c r="H909" s="755"/>
      <c r="I909" s="757"/>
      <c r="J909" s="755"/>
      <c r="K909" s="756"/>
      <c r="L909" s="758"/>
      <c r="M909" s="758"/>
      <c r="N909" s="758"/>
      <c r="O909" s="758"/>
      <c r="P909" s="758"/>
      <c r="Q909" s="758"/>
      <c r="T909" s="758"/>
      <c r="U909" s="758"/>
      <c r="V909" s="760"/>
      <c r="W909" s="758"/>
      <c r="X909" s="758"/>
    </row>
    <row r="910" spans="1:24">
      <c r="A910" s="755"/>
      <c r="B910" s="755"/>
      <c r="C910" s="756"/>
      <c r="D910" s="755"/>
      <c r="E910" s="755"/>
      <c r="F910" s="756"/>
      <c r="G910" s="755"/>
      <c r="H910" s="755"/>
      <c r="I910" s="757"/>
      <c r="J910" s="755"/>
      <c r="K910" s="756"/>
      <c r="L910" s="758"/>
      <c r="M910" s="758"/>
      <c r="N910" s="758"/>
      <c r="O910" s="758"/>
      <c r="P910" s="758"/>
      <c r="Q910" s="758"/>
      <c r="T910" s="758"/>
      <c r="U910" s="758"/>
      <c r="V910" s="760"/>
      <c r="W910" s="758"/>
      <c r="X910" s="758"/>
    </row>
    <row r="911" spans="1:24">
      <c r="A911" s="755"/>
      <c r="B911" s="755"/>
      <c r="C911" s="756"/>
      <c r="D911" s="755"/>
      <c r="E911" s="755"/>
      <c r="F911" s="756"/>
      <c r="G911" s="755"/>
      <c r="H911" s="755"/>
      <c r="I911" s="757"/>
      <c r="J911" s="755"/>
      <c r="K911" s="756"/>
      <c r="L911" s="758"/>
      <c r="M911" s="758"/>
      <c r="N911" s="758"/>
      <c r="O911" s="758"/>
      <c r="P911" s="758"/>
      <c r="Q911" s="758"/>
      <c r="T911" s="758"/>
      <c r="U911" s="758"/>
      <c r="V911" s="760"/>
      <c r="W911" s="758"/>
      <c r="X911" s="758"/>
    </row>
    <row r="912" spans="1:24">
      <c r="A912" s="755"/>
      <c r="B912" s="755"/>
      <c r="C912" s="756"/>
      <c r="D912" s="755"/>
      <c r="E912" s="755"/>
      <c r="F912" s="756"/>
      <c r="G912" s="755"/>
      <c r="H912" s="755"/>
      <c r="I912" s="757"/>
      <c r="J912" s="755"/>
      <c r="K912" s="756"/>
      <c r="L912" s="758"/>
      <c r="M912" s="758"/>
      <c r="N912" s="758"/>
      <c r="O912" s="758"/>
      <c r="P912" s="758"/>
      <c r="Q912" s="758"/>
      <c r="T912" s="758"/>
      <c r="U912" s="758"/>
      <c r="V912" s="760"/>
      <c r="W912" s="758"/>
      <c r="X912" s="758"/>
    </row>
    <row r="913" spans="1:24">
      <c r="A913" s="755"/>
      <c r="B913" s="755"/>
      <c r="C913" s="756"/>
      <c r="D913" s="755"/>
      <c r="E913" s="755"/>
      <c r="F913" s="756"/>
      <c r="G913" s="755"/>
      <c r="H913" s="755"/>
      <c r="I913" s="757"/>
      <c r="J913" s="755"/>
      <c r="K913" s="756"/>
      <c r="L913" s="758"/>
      <c r="M913" s="758"/>
      <c r="N913" s="758"/>
      <c r="O913" s="758"/>
      <c r="P913" s="758"/>
      <c r="Q913" s="758"/>
      <c r="T913" s="758"/>
      <c r="U913" s="758"/>
      <c r="V913" s="760"/>
      <c r="W913" s="758"/>
      <c r="X913" s="758"/>
    </row>
    <row r="914" spans="1:24">
      <c r="A914" s="755"/>
      <c r="B914" s="755"/>
      <c r="C914" s="756"/>
      <c r="D914" s="755"/>
      <c r="E914" s="755"/>
      <c r="F914" s="756"/>
      <c r="G914" s="755"/>
      <c r="H914" s="755"/>
      <c r="I914" s="757"/>
      <c r="J914" s="755"/>
      <c r="K914" s="756"/>
      <c r="L914" s="758"/>
      <c r="M914" s="758"/>
      <c r="N914" s="758"/>
      <c r="O914" s="758"/>
      <c r="P914" s="758"/>
      <c r="Q914" s="758"/>
      <c r="T914" s="758"/>
      <c r="U914" s="758"/>
      <c r="V914" s="760"/>
      <c r="W914" s="758"/>
      <c r="X914" s="758"/>
    </row>
    <row r="915" spans="1:24">
      <c r="A915" s="755"/>
      <c r="B915" s="755"/>
      <c r="C915" s="756"/>
      <c r="D915" s="755"/>
      <c r="E915" s="755"/>
      <c r="F915" s="756"/>
      <c r="G915" s="755"/>
      <c r="H915" s="755"/>
      <c r="I915" s="757"/>
      <c r="J915" s="755"/>
      <c r="K915" s="756"/>
      <c r="L915" s="758"/>
      <c r="M915" s="758"/>
      <c r="N915" s="758"/>
      <c r="O915" s="758"/>
      <c r="P915" s="758"/>
      <c r="Q915" s="758"/>
      <c r="T915" s="758"/>
      <c r="U915" s="758"/>
      <c r="V915" s="760"/>
      <c r="W915" s="758"/>
      <c r="X915" s="758"/>
    </row>
    <row r="916" spans="1:24">
      <c r="A916" s="755"/>
      <c r="B916" s="755"/>
      <c r="C916" s="756"/>
      <c r="D916" s="755"/>
      <c r="E916" s="755"/>
      <c r="F916" s="756"/>
      <c r="G916" s="755"/>
      <c r="H916" s="755"/>
      <c r="I916" s="757"/>
      <c r="J916" s="755"/>
      <c r="K916" s="756"/>
      <c r="L916" s="758"/>
      <c r="M916" s="758"/>
      <c r="N916" s="758"/>
      <c r="O916" s="758"/>
      <c r="P916" s="758"/>
      <c r="Q916" s="758"/>
      <c r="T916" s="758"/>
      <c r="U916" s="758"/>
      <c r="V916" s="760"/>
      <c r="W916" s="758"/>
      <c r="X916" s="758"/>
    </row>
    <row r="917" spans="1:24">
      <c r="A917" s="755"/>
      <c r="B917" s="755"/>
      <c r="C917" s="756"/>
      <c r="D917" s="755"/>
      <c r="E917" s="755"/>
      <c r="F917" s="756"/>
      <c r="G917" s="755"/>
      <c r="H917" s="755"/>
      <c r="I917" s="757"/>
      <c r="J917" s="755"/>
      <c r="K917" s="756"/>
      <c r="L917" s="758"/>
      <c r="M917" s="758"/>
      <c r="N917" s="758"/>
      <c r="O917" s="758"/>
      <c r="P917" s="758"/>
      <c r="Q917" s="758"/>
      <c r="T917" s="758"/>
      <c r="U917" s="758"/>
      <c r="V917" s="760"/>
      <c r="W917" s="758"/>
      <c r="X917" s="758"/>
    </row>
    <row r="918" spans="1:24">
      <c r="A918" s="755"/>
      <c r="B918" s="755"/>
      <c r="C918" s="756"/>
      <c r="D918" s="755"/>
      <c r="E918" s="755"/>
      <c r="F918" s="756"/>
      <c r="G918" s="755"/>
      <c r="H918" s="755"/>
      <c r="I918" s="757"/>
      <c r="J918" s="755"/>
      <c r="K918" s="756"/>
      <c r="L918" s="758"/>
      <c r="M918" s="758"/>
      <c r="N918" s="758"/>
      <c r="O918" s="758"/>
      <c r="P918" s="758"/>
      <c r="Q918" s="758"/>
      <c r="T918" s="758"/>
      <c r="U918" s="758"/>
      <c r="V918" s="760"/>
      <c r="W918" s="758"/>
      <c r="X918" s="758"/>
    </row>
    <row r="919" spans="1:24">
      <c r="A919" s="755"/>
      <c r="B919" s="755"/>
      <c r="C919" s="756"/>
      <c r="D919" s="755"/>
      <c r="E919" s="755"/>
      <c r="F919" s="756"/>
      <c r="G919" s="755"/>
      <c r="H919" s="755"/>
      <c r="I919" s="757"/>
      <c r="J919" s="755"/>
      <c r="K919" s="756"/>
      <c r="L919" s="758"/>
      <c r="M919" s="758"/>
      <c r="N919" s="758"/>
      <c r="O919" s="758"/>
      <c r="P919" s="758"/>
      <c r="Q919" s="758"/>
      <c r="T919" s="758"/>
      <c r="U919" s="758"/>
      <c r="V919" s="760"/>
      <c r="W919" s="758"/>
      <c r="X919" s="758"/>
    </row>
    <row r="920" spans="1:24">
      <c r="A920" s="755"/>
      <c r="B920" s="755"/>
      <c r="C920" s="756"/>
      <c r="D920" s="755"/>
      <c r="E920" s="755"/>
      <c r="F920" s="756"/>
      <c r="G920" s="755"/>
      <c r="H920" s="755"/>
      <c r="I920" s="757"/>
      <c r="J920" s="755"/>
      <c r="K920" s="756"/>
      <c r="L920" s="758"/>
      <c r="M920" s="758"/>
      <c r="N920" s="758"/>
      <c r="O920" s="758"/>
      <c r="P920" s="758"/>
      <c r="Q920" s="758"/>
      <c r="T920" s="758"/>
      <c r="U920" s="758"/>
      <c r="V920" s="760"/>
      <c r="W920" s="758"/>
      <c r="X920" s="758"/>
    </row>
    <row r="921" spans="1:24">
      <c r="A921" s="755"/>
      <c r="B921" s="755"/>
      <c r="C921" s="756"/>
      <c r="D921" s="755"/>
      <c r="E921" s="755"/>
      <c r="F921" s="756"/>
      <c r="G921" s="755"/>
      <c r="H921" s="755"/>
      <c r="I921" s="757"/>
      <c r="J921" s="755"/>
      <c r="K921" s="756"/>
      <c r="L921" s="758"/>
      <c r="M921" s="758"/>
      <c r="N921" s="758"/>
      <c r="O921" s="758"/>
      <c r="P921" s="758"/>
      <c r="Q921" s="758"/>
      <c r="T921" s="758"/>
      <c r="U921" s="758"/>
      <c r="V921" s="760"/>
      <c r="W921" s="758"/>
      <c r="X921" s="758"/>
    </row>
    <row r="922" spans="1:24">
      <c r="A922" s="755"/>
      <c r="B922" s="755"/>
      <c r="C922" s="756"/>
      <c r="D922" s="755"/>
      <c r="E922" s="755"/>
      <c r="F922" s="756"/>
      <c r="G922" s="755"/>
      <c r="H922" s="755"/>
      <c r="I922" s="757"/>
      <c r="J922" s="755"/>
      <c r="K922" s="756"/>
      <c r="L922" s="758"/>
      <c r="M922" s="758"/>
      <c r="N922" s="758"/>
      <c r="O922" s="758"/>
      <c r="P922" s="758"/>
      <c r="Q922" s="758"/>
      <c r="T922" s="758"/>
      <c r="U922" s="758"/>
      <c r="V922" s="760"/>
      <c r="W922" s="758"/>
      <c r="X922" s="758"/>
    </row>
    <row r="923" spans="1:24">
      <c r="A923" s="755"/>
      <c r="B923" s="755"/>
      <c r="C923" s="756"/>
      <c r="D923" s="755"/>
      <c r="E923" s="755"/>
      <c r="F923" s="756"/>
      <c r="G923" s="755"/>
      <c r="H923" s="755"/>
      <c r="I923" s="757"/>
      <c r="J923" s="755"/>
      <c r="K923" s="756"/>
      <c r="L923" s="758"/>
      <c r="M923" s="758"/>
      <c r="N923" s="758"/>
      <c r="O923" s="758"/>
      <c r="P923" s="758"/>
      <c r="Q923" s="758"/>
      <c r="T923" s="758"/>
      <c r="U923" s="758"/>
      <c r="V923" s="760"/>
      <c r="W923" s="758"/>
      <c r="X923" s="758"/>
    </row>
    <row r="924" spans="1:24">
      <c r="A924" s="755"/>
      <c r="B924" s="755"/>
      <c r="C924" s="756"/>
      <c r="D924" s="755"/>
      <c r="E924" s="755"/>
      <c r="F924" s="756"/>
      <c r="G924" s="755"/>
      <c r="H924" s="755"/>
      <c r="I924" s="757"/>
      <c r="J924" s="755"/>
      <c r="K924" s="756"/>
      <c r="L924" s="758"/>
      <c r="M924" s="758"/>
      <c r="N924" s="758"/>
      <c r="O924" s="758"/>
      <c r="P924" s="758"/>
      <c r="Q924" s="758"/>
      <c r="T924" s="758"/>
      <c r="U924" s="758"/>
      <c r="V924" s="760"/>
      <c r="W924" s="758"/>
      <c r="X924" s="758"/>
    </row>
    <row r="925" spans="1:24">
      <c r="A925" s="755"/>
      <c r="B925" s="755"/>
      <c r="C925" s="756"/>
      <c r="D925" s="755"/>
      <c r="E925" s="755"/>
      <c r="F925" s="756"/>
      <c r="G925" s="755"/>
      <c r="H925" s="755"/>
      <c r="I925" s="757"/>
      <c r="J925" s="755"/>
      <c r="K925" s="756"/>
      <c r="L925" s="758"/>
      <c r="M925" s="758"/>
      <c r="N925" s="758"/>
      <c r="O925" s="758"/>
      <c r="P925" s="758"/>
      <c r="Q925" s="758"/>
      <c r="T925" s="758"/>
      <c r="U925" s="758"/>
      <c r="V925" s="760"/>
      <c r="W925" s="758"/>
      <c r="X925" s="758"/>
    </row>
    <row r="926" spans="1:24">
      <c r="A926" s="755"/>
      <c r="B926" s="755"/>
      <c r="C926" s="756"/>
      <c r="D926" s="755"/>
      <c r="E926" s="755"/>
      <c r="F926" s="756"/>
      <c r="G926" s="755"/>
      <c r="H926" s="755"/>
      <c r="I926" s="757"/>
      <c r="J926" s="755"/>
      <c r="K926" s="756"/>
      <c r="L926" s="758"/>
      <c r="M926" s="758"/>
      <c r="N926" s="758"/>
      <c r="O926" s="758"/>
      <c r="P926" s="758"/>
      <c r="Q926" s="758"/>
      <c r="T926" s="758"/>
      <c r="U926" s="758"/>
      <c r="V926" s="760"/>
      <c r="W926" s="758"/>
      <c r="X926" s="758"/>
    </row>
    <row r="927" spans="1:24">
      <c r="A927" s="755"/>
      <c r="B927" s="755"/>
      <c r="C927" s="756"/>
      <c r="D927" s="755"/>
      <c r="E927" s="755"/>
      <c r="F927" s="756"/>
      <c r="G927" s="755"/>
      <c r="H927" s="755"/>
      <c r="I927" s="757"/>
      <c r="J927" s="755"/>
      <c r="K927" s="756"/>
      <c r="L927" s="758"/>
      <c r="M927" s="758"/>
      <c r="N927" s="758"/>
      <c r="O927" s="758"/>
      <c r="P927" s="758"/>
      <c r="Q927" s="758"/>
      <c r="T927" s="758"/>
      <c r="U927" s="758"/>
      <c r="V927" s="760"/>
      <c r="W927" s="758"/>
      <c r="X927" s="758"/>
    </row>
    <row r="928" spans="1:24">
      <c r="A928" s="755"/>
      <c r="B928" s="755"/>
      <c r="C928" s="756"/>
      <c r="D928" s="755"/>
      <c r="E928" s="755"/>
      <c r="F928" s="756"/>
      <c r="G928" s="755"/>
      <c r="H928" s="755"/>
      <c r="I928" s="757"/>
      <c r="J928" s="755"/>
      <c r="K928" s="756"/>
      <c r="L928" s="758"/>
      <c r="M928" s="758"/>
      <c r="N928" s="758"/>
      <c r="O928" s="758"/>
      <c r="P928" s="758"/>
      <c r="Q928" s="758"/>
      <c r="T928" s="758"/>
      <c r="U928" s="758"/>
      <c r="V928" s="760"/>
      <c r="W928" s="758"/>
      <c r="X928" s="758"/>
    </row>
    <row r="929" spans="1:24">
      <c r="A929" s="755"/>
      <c r="B929" s="755"/>
      <c r="C929" s="756"/>
      <c r="D929" s="755"/>
      <c r="E929" s="755"/>
      <c r="F929" s="756"/>
      <c r="G929" s="755"/>
      <c r="H929" s="755"/>
      <c r="I929" s="757"/>
      <c r="J929" s="755"/>
      <c r="K929" s="756"/>
      <c r="L929" s="758"/>
      <c r="M929" s="758"/>
      <c r="N929" s="758"/>
      <c r="O929" s="758"/>
      <c r="P929" s="758"/>
      <c r="Q929" s="758"/>
      <c r="T929" s="758"/>
      <c r="U929" s="758"/>
      <c r="V929" s="760"/>
      <c r="W929" s="758"/>
      <c r="X929" s="758"/>
    </row>
    <row r="930" spans="1:24">
      <c r="A930" s="755"/>
      <c r="B930" s="755"/>
      <c r="C930" s="756"/>
      <c r="D930" s="755"/>
      <c r="E930" s="755"/>
      <c r="F930" s="756"/>
      <c r="G930" s="755"/>
      <c r="H930" s="755"/>
      <c r="I930" s="757"/>
      <c r="J930" s="755"/>
      <c r="K930" s="756"/>
      <c r="L930" s="758"/>
      <c r="M930" s="758"/>
      <c r="N930" s="758"/>
      <c r="O930" s="758"/>
      <c r="P930" s="758"/>
      <c r="Q930" s="758"/>
      <c r="T930" s="758"/>
      <c r="U930" s="758"/>
      <c r="V930" s="760"/>
      <c r="W930" s="758"/>
      <c r="X930" s="758"/>
    </row>
    <row r="931" spans="1:24">
      <c r="A931" s="755"/>
      <c r="B931" s="755"/>
      <c r="C931" s="756"/>
      <c r="D931" s="755"/>
      <c r="E931" s="755"/>
      <c r="F931" s="756"/>
      <c r="G931" s="755"/>
      <c r="H931" s="755"/>
      <c r="I931" s="757"/>
      <c r="J931" s="755"/>
      <c r="K931" s="756"/>
      <c r="L931" s="758"/>
      <c r="M931" s="758"/>
      <c r="N931" s="758"/>
      <c r="O931" s="758"/>
      <c r="P931" s="758"/>
      <c r="Q931" s="758"/>
      <c r="T931" s="758"/>
      <c r="U931" s="758"/>
      <c r="V931" s="760"/>
      <c r="W931" s="758"/>
      <c r="X931" s="758"/>
    </row>
    <row r="932" spans="1:24">
      <c r="A932" s="755"/>
      <c r="B932" s="755"/>
      <c r="C932" s="756"/>
      <c r="D932" s="755"/>
      <c r="E932" s="755"/>
      <c r="F932" s="756"/>
      <c r="G932" s="755"/>
      <c r="H932" s="755"/>
      <c r="I932" s="757"/>
      <c r="J932" s="755"/>
      <c r="K932" s="756"/>
      <c r="L932" s="758"/>
      <c r="M932" s="758"/>
      <c r="N932" s="758"/>
      <c r="O932" s="758"/>
      <c r="P932" s="758"/>
      <c r="Q932" s="758"/>
      <c r="T932" s="758"/>
      <c r="U932" s="758"/>
      <c r="V932" s="760"/>
      <c r="W932" s="758"/>
      <c r="X932" s="758"/>
    </row>
    <row r="933" spans="1:24">
      <c r="A933" s="755"/>
      <c r="B933" s="755"/>
      <c r="C933" s="756"/>
      <c r="D933" s="755"/>
      <c r="E933" s="755"/>
      <c r="F933" s="756"/>
      <c r="G933" s="755"/>
      <c r="H933" s="755"/>
      <c r="I933" s="757"/>
      <c r="J933" s="755"/>
      <c r="K933" s="756"/>
      <c r="L933" s="758"/>
      <c r="M933" s="758"/>
      <c r="N933" s="758"/>
      <c r="O933" s="758"/>
      <c r="P933" s="758"/>
      <c r="Q933" s="758"/>
      <c r="T933" s="758"/>
      <c r="U933" s="758"/>
      <c r="V933" s="760"/>
      <c r="W933" s="758"/>
      <c r="X933" s="758"/>
    </row>
    <row r="934" spans="1:24">
      <c r="A934" s="755"/>
      <c r="B934" s="755"/>
      <c r="C934" s="756"/>
      <c r="D934" s="755"/>
      <c r="E934" s="755"/>
      <c r="F934" s="756"/>
      <c r="G934" s="755"/>
      <c r="H934" s="755"/>
      <c r="I934" s="757"/>
      <c r="J934" s="755"/>
      <c r="K934" s="756"/>
      <c r="L934" s="758"/>
      <c r="M934" s="758"/>
      <c r="N934" s="758"/>
      <c r="O934" s="758"/>
      <c r="P934" s="758"/>
      <c r="Q934" s="758"/>
      <c r="T934" s="758"/>
      <c r="U934" s="758"/>
      <c r="V934" s="760"/>
      <c r="W934" s="758"/>
      <c r="X934" s="758"/>
    </row>
    <row r="935" spans="1:24">
      <c r="A935" s="755"/>
      <c r="B935" s="755"/>
      <c r="C935" s="756"/>
      <c r="D935" s="755"/>
      <c r="E935" s="755"/>
      <c r="F935" s="756"/>
      <c r="G935" s="755"/>
      <c r="H935" s="755"/>
      <c r="I935" s="757"/>
      <c r="J935" s="755"/>
      <c r="K935" s="756"/>
      <c r="L935" s="758"/>
      <c r="M935" s="758"/>
      <c r="N935" s="758"/>
      <c r="O935" s="758"/>
      <c r="P935" s="758"/>
      <c r="Q935" s="758"/>
      <c r="T935" s="758"/>
      <c r="U935" s="758"/>
      <c r="V935" s="760"/>
      <c r="W935" s="758"/>
      <c r="X935" s="758"/>
    </row>
    <row r="936" spans="1:24">
      <c r="A936" s="755"/>
      <c r="B936" s="755"/>
      <c r="C936" s="756"/>
      <c r="D936" s="755"/>
      <c r="E936" s="755"/>
      <c r="F936" s="756"/>
      <c r="G936" s="755"/>
      <c r="H936" s="755"/>
      <c r="I936" s="757"/>
      <c r="J936" s="755"/>
      <c r="K936" s="756"/>
      <c r="L936" s="758"/>
      <c r="M936" s="758"/>
      <c r="N936" s="758"/>
      <c r="O936" s="758"/>
      <c r="P936" s="758"/>
      <c r="Q936" s="758"/>
      <c r="T936" s="758"/>
      <c r="U936" s="758"/>
      <c r="V936" s="760"/>
      <c r="W936" s="758"/>
      <c r="X936" s="758"/>
    </row>
    <row r="937" spans="1:24">
      <c r="A937" s="755"/>
      <c r="B937" s="755"/>
      <c r="C937" s="756"/>
      <c r="D937" s="755"/>
      <c r="E937" s="755"/>
      <c r="F937" s="756"/>
      <c r="G937" s="755"/>
      <c r="H937" s="755"/>
      <c r="I937" s="757"/>
      <c r="J937" s="755"/>
      <c r="K937" s="756"/>
      <c r="L937" s="758"/>
      <c r="M937" s="758"/>
      <c r="N937" s="758"/>
      <c r="O937" s="758"/>
      <c r="P937" s="758"/>
      <c r="Q937" s="758"/>
      <c r="T937" s="758"/>
      <c r="U937" s="758"/>
      <c r="V937" s="760"/>
      <c r="W937" s="758"/>
      <c r="X937" s="758"/>
    </row>
    <row r="938" spans="1:24">
      <c r="A938" s="755"/>
      <c r="B938" s="755"/>
      <c r="C938" s="756"/>
      <c r="D938" s="755"/>
      <c r="E938" s="755"/>
      <c r="F938" s="756"/>
      <c r="G938" s="755"/>
      <c r="H938" s="755"/>
      <c r="I938" s="757"/>
      <c r="J938" s="755"/>
      <c r="K938" s="756"/>
      <c r="L938" s="758"/>
      <c r="M938" s="758"/>
      <c r="N938" s="758"/>
      <c r="O938" s="758"/>
      <c r="P938" s="758"/>
      <c r="Q938" s="758"/>
      <c r="T938" s="758"/>
      <c r="U938" s="758"/>
      <c r="V938" s="760"/>
      <c r="W938" s="758"/>
      <c r="X938" s="758"/>
    </row>
    <row r="939" spans="1:24">
      <c r="A939" s="755"/>
      <c r="B939" s="755"/>
      <c r="C939" s="756"/>
      <c r="D939" s="755"/>
      <c r="E939" s="755"/>
      <c r="F939" s="756"/>
      <c r="G939" s="755"/>
      <c r="H939" s="755"/>
      <c r="I939" s="757"/>
      <c r="J939" s="755"/>
      <c r="K939" s="756"/>
      <c r="L939" s="758"/>
      <c r="M939" s="758"/>
      <c r="N939" s="758"/>
      <c r="O939" s="758"/>
      <c r="P939" s="758"/>
      <c r="Q939" s="758"/>
      <c r="T939" s="758"/>
      <c r="U939" s="758"/>
      <c r="V939" s="760"/>
      <c r="W939" s="758"/>
      <c r="X939" s="758"/>
    </row>
    <row r="940" spans="1:24">
      <c r="A940" s="755"/>
      <c r="B940" s="755"/>
      <c r="C940" s="756"/>
      <c r="D940" s="755"/>
      <c r="E940" s="755"/>
      <c r="F940" s="756"/>
      <c r="G940" s="755"/>
      <c r="H940" s="755"/>
      <c r="I940" s="757"/>
      <c r="J940" s="755"/>
      <c r="K940" s="756"/>
      <c r="L940" s="758"/>
      <c r="M940" s="758"/>
      <c r="N940" s="758"/>
      <c r="O940" s="758"/>
      <c r="P940" s="758"/>
      <c r="Q940" s="758"/>
      <c r="T940" s="758"/>
      <c r="U940" s="758"/>
      <c r="V940" s="760"/>
      <c r="W940" s="758"/>
      <c r="X940" s="758"/>
    </row>
    <row r="941" spans="1:24">
      <c r="A941" s="755"/>
      <c r="B941" s="755"/>
      <c r="C941" s="756"/>
      <c r="D941" s="755"/>
      <c r="E941" s="755"/>
      <c r="F941" s="756"/>
      <c r="G941" s="755"/>
      <c r="H941" s="755"/>
      <c r="I941" s="757"/>
      <c r="J941" s="755"/>
      <c r="K941" s="756"/>
      <c r="L941" s="758"/>
      <c r="M941" s="758"/>
      <c r="N941" s="758"/>
      <c r="O941" s="758"/>
      <c r="P941" s="758"/>
      <c r="Q941" s="758"/>
      <c r="T941" s="758"/>
      <c r="U941" s="758"/>
      <c r="V941" s="760"/>
      <c r="W941" s="758"/>
      <c r="X941" s="758"/>
    </row>
    <row r="942" spans="1:24">
      <c r="A942" s="755"/>
      <c r="B942" s="755"/>
      <c r="C942" s="756"/>
      <c r="D942" s="755"/>
      <c r="E942" s="755"/>
      <c r="F942" s="756"/>
      <c r="G942" s="755"/>
      <c r="H942" s="755"/>
      <c r="I942" s="757"/>
      <c r="J942" s="755"/>
      <c r="K942" s="756"/>
      <c r="L942" s="758"/>
      <c r="M942" s="758"/>
      <c r="N942" s="758"/>
      <c r="O942" s="758"/>
      <c r="P942" s="758"/>
      <c r="Q942" s="758"/>
      <c r="T942" s="758"/>
      <c r="U942" s="758"/>
      <c r="V942" s="760"/>
      <c r="W942" s="758"/>
      <c r="X942" s="758"/>
    </row>
    <row r="943" spans="1:24">
      <c r="A943" s="755"/>
      <c r="B943" s="755"/>
      <c r="C943" s="756"/>
      <c r="D943" s="755"/>
      <c r="E943" s="755"/>
      <c r="F943" s="756"/>
      <c r="G943" s="755"/>
      <c r="H943" s="755"/>
      <c r="I943" s="757"/>
      <c r="J943" s="755"/>
      <c r="K943" s="756"/>
      <c r="L943" s="758"/>
      <c r="M943" s="758"/>
      <c r="N943" s="758"/>
      <c r="O943" s="758"/>
      <c r="P943" s="758"/>
      <c r="Q943" s="758"/>
      <c r="T943" s="758"/>
      <c r="U943" s="758"/>
      <c r="V943" s="760"/>
      <c r="W943" s="758"/>
      <c r="X943" s="758"/>
    </row>
    <row r="944" spans="1:24">
      <c r="A944" s="755"/>
      <c r="B944" s="755"/>
      <c r="C944" s="756"/>
      <c r="D944" s="755"/>
      <c r="E944" s="755"/>
      <c r="F944" s="756"/>
      <c r="G944" s="755"/>
      <c r="H944" s="755"/>
      <c r="I944" s="757"/>
      <c r="J944" s="755"/>
      <c r="K944" s="756"/>
      <c r="L944" s="758"/>
      <c r="M944" s="758"/>
      <c r="N944" s="758"/>
      <c r="O944" s="758"/>
      <c r="P944" s="758"/>
      <c r="Q944" s="758"/>
      <c r="T944" s="758"/>
      <c r="U944" s="758"/>
      <c r="V944" s="760"/>
      <c r="W944" s="758"/>
      <c r="X944" s="758"/>
    </row>
    <row r="945" spans="1:24">
      <c r="A945" s="755"/>
      <c r="B945" s="755"/>
      <c r="C945" s="756"/>
      <c r="D945" s="755"/>
      <c r="E945" s="755"/>
      <c r="F945" s="756"/>
      <c r="G945" s="755"/>
      <c r="H945" s="755"/>
      <c r="I945" s="757"/>
      <c r="J945" s="755"/>
      <c r="K945" s="756"/>
      <c r="L945" s="758"/>
      <c r="M945" s="758"/>
      <c r="N945" s="758"/>
      <c r="O945" s="758"/>
      <c r="P945" s="758"/>
      <c r="Q945" s="758"/>
      <c r="T945" s="758"/>
      <c r="U945" s="758"/>
      <c r="V945" s="760"/>
      <c r="W945" s="758"/>
      <c r="X945" s="758"/>
    </row>
    <row r="946" spans="1:24">
      <c r="A946" s="755"/>
      <c r="B946" s="755"/>
      <c r="C946" s="756"/>
      <c r="D946" s="755"/>
      <c r="E946" s="755"/>
      <c r="F946" s="756"/>
      <c r="G946" s="755"/>
      <c r="H946" s="755"/>
      <c r="I946" s="757"/>
      <c r="J946" s="755"/>
      <c r="K946" s="756"/>
      <c r="L946" s="758"/>
      <c r="M946" s="758"/>
      <c r="N946" s="758"/>
      <c r="O946" s="758"/>
      <c r="P946" s="758"/>
      <c r="Q946" s="758"/>
      <c r="T946" s="758"/>
      <c r="U946" s="758"/>
      <c r="V946" s="760"/>
      <c r="W946" s="758"/>
      <c r="X946" s="758"/>
    </row>
    <row r="947" spans="1:24">
      <c r="A947" s="755"/>
      <c r="B947" s="755"/>
      <c r="C947" s="756"/>
      <c r="D947" s="755"/>
      <c r="E947" s="755"/>
      <c r="F947" s="756"/>
      <c r="G947" s="755"/>
      <c r="H947" s="755"/>
      <c r="I947" s="757"/>
      <c r="J947" s="755"/>
      <c r="K947" s="756"/>
      <c r="L947" s="758"/>
      <c r="M947" s="758"/>
      <c r="N947" s="758"/>
      <c r="O947" s="758"/>
      <c r="P947" s="758"/>
      <c r="Q947" s="758"/>
      <c r="T947" s="758"/>
      <c r="U947" s="758"/>
      <c r="V947" s="760"/>
      <c r="W947" s="758"/>
      <c r="X947" s="758"/>
    </row>
    <row r="948" spans="1:24">
      <c r="A948" s="755"/>
      <c r="B948" s="755"/>
      <c r="C948" s="756"/>
      <c r="D948" s="755"/>
      <c r="E948" s="755"/>
      <c r="F948" s="756"/>
      <c r="G948" s="755"/>
      <c r="H948" s="755"/>
      <c r="I948" s="757"/>
      <c r="J948" s="755"/>
      <c r="K948" s="756"/>
      <c r="L948" s="758"/>
      <c r="M948" s="758"/>
      <c r="N948" s="758"/>
      <c r="O948" s="758"/>
      <c r="P948" s="758"/>
      <c r="Q948" s="758"/>
      <c r="T948" s="758"/>
      <c r="U948" s="758"/>
      <c r="V948" s="760"/>
      <c r="W948" s="758"/>
      <c r="X948" s="758"/>
    </row>
    <row r="949" spans="1:24">
      <c r="A949" s="755"/>
      <c r="B949" s="755"/>
      <c r="C949" s="756"/>
      <c r="D949" s="755"/>
      <c r="E949" s="755"/>
      <c r="F949" s="756"/>
      <c r="G949" s="755"/>
      <c r="H949" s="755"/>
      <c r="I949" s="757"/>
      <c r="J949" s="755"/>
      <c r="K949" s="756"/>
      <c r="L949" s="758"/>
      <c r="M949" s="758"/>
      <c r="N949" s="758"/>
      <c r="O949" s="758"/>
      <c r="P949" s="758"/>
      <c r="Q949" s="758"/>
      <c r="T949" s="758"/>
      <c r="U949" s="758"/>
      <c r="V949" s="760"/>
      <c r="W949" s="758"/>
      <c r="X949" s="758"/>
    </row>
    <row r="950" spans="1:24">
      <c r="A950" s="755"/>
      <c r="B950" s="755"/>
      <c r="C950" s="756"/>
      <c r="D950" s="755"/>
      <c r="E950" s="755"/>
      <c r="F950" s="756"/>
      <c r="G950" s="755"/>
      <c r="H950" s="755"/>
      <c r="I950" s="757"/>
      <c r="J950" s="755"/>
      <c r="K950" s="756"/>
      <c r="L950" s="758"/>
      <c r="M950" s="758"/>
      <c r="N950" s="758"/>
      <c r="O950" s="758"/>
      <c r="P950" s="758"/>
      <c r="Q950" s="758"/>
      <c r="T950" s="758"/>
      <c r="U950" s="758"/>
      <c r="V950" s="760"/>
      <c r="W950" s="758"/>
      <c r="X950" s="758"/>
    </row>
    <row r="951" spans="1:24">
      <c r="A951" s="755"/>
      <c r="B951" s="755"/>
      <c r="C951" s="756"/>
      <c r="D951" s="755"/>
      <c r="E951" s="755"/>
      <c r="F951" s="756"/>
      <c r="G951" s="755"/>
      <c r="H951" s="755"/>
      <c r="I951" s="757"/>
      <c r="J951" s="755"/>
      <c r="K951" s="756"/>
      <c r="L951" s="758"/>
      <c r="M951" s="758"/>
      <c r="N951" s="758"/>
      <c r="O951" s="758"/>
      <c r="P951" s="758"/>
      <c r="Q951" s="758"/>
      <c r="T951" s="758"/>
      <c r="U951" s="758"/>
      <c r="V951" s="760"/>
      <c r="W951" s="758"/>
      <c r="X951" s="758"/>
    </row>
    <row r="952" spans="1:24">
      <c r="A952" s="755"/>
      <c r="B952" s="755"/>
      <c r="C952" s="756"/>
      <c r="D952" s="755"/>
      <c r="E952" s="755"/>
      <c r="F952" s="756"/>
      <c r="G952" s="755"/>
      <c r="H952" s="755"/>
      <c r="I952" s="757"/>
      <c r="J952" s="755"/>
      <c r="K952" s="756"/>
      <c r="L952" s="758"/>
      <c r="M952" s="758"/>
      <c r="N952" s="758"/>
      <c r="O952" s="758"/>
      <c r="P952" s="758"/>
      <c r="Q952" s="758"/>
      <c r="T952" s="758"/>
      <c r="U952" s="758"/>
      <c r="V952" s="760"/>
      <c r="W952" s="758"/>
      <c r="X952" s="758"/>
    </row>
    <row r="953" spans="1:24">
      <c r="A953" s="755"/>
      <c r="B953" s="755"/>
      <c r="C953" s="756"/>
      <c r="D953" s="755"/>
      <c r="E953" s="755"/>
      <c r="F953" s="756"/>
      <c r="G953" s="755"/>
      <c r="H953" s="755"/>
      <c r="I953" s="757"/>
      <c r="J953" s="755"/>
      <c r="K953" s="756"/>
      <c r="L953" s="758"/>
      <c r="M953" s="758"/>
      <c r="N953" s="758"/>
      <c r="O953" s="758"/>
      <c r="P953" s="758"/>
      <c r="Q953" s="758"/>
      <c r="T953" s="758"/>
      <c r="U953" s="758"/>
      <c r="V953" s="760"/>
      <c r="W953" s="758"/>
      <c r="X953" s="758"/>
    </row>
    <row r="954" spans="1:24">
      <c r="A954" s="755"/>
      <c r="B954" s="755"/>
      <c r="C954" s="756"/>
      <c r="D954" s="755"/>
      <c r="E954" s="755"/>
      <c r="F954" s="756"/>
      <c r="G954" s="755"/>
      <c r="H954" s="755"/>
      <c r="I954" s="757"/>
      <c r="J954" s="755"/>
      <c r="K954" s="756"/>
      <c r="L954" s="758"/>
      <c r="M954" s="758"/>
      <c r="N954" s="758"/>
      <c r="O954" s="758"/>
      <c r="P954" s="758"/>
      <c r="Q954" s="758"/>
      <c r="T954" s="758"/>
      <c r="U954" s="758"/>
      <c r="V954" s="760"/>
      <c r="W954" s="758"/>
      <c r="X954" s="758"/>
    </row>
    <row r="955" spans="1:24">
      <c r="A955" s="755"/>
      <c r="B955" s="755"/>
      <c r="C955" s="756"/>
      <c r="D955" s="755"/>
      <c r="E955" s="755"/>
      <c r="F955" s="756"/>
      <c r="G955" s="755"/>
      <c r="H955" s="755"/>
      <c r="I955" s="757"/>
      <c r="J955" s="755"/>
      <c r="K955" s="756"/>
      <c r="L955" s="758"/>
      <c r="M955" s="758"/>
      <c r="N955" s="758"/>
      <c r="O955" s="758"/>
      <c r="P955" s="758"/>
      <c r="Q955" s="758"/>
      <c r="T955" s="758"/>
      <c r="U955" s="758"/>
      <c r="V955" s="760"/>
      <c r="W955" s="758"/>
      <c r="X955" s="758"/>
    </row>
    <row r="956" spans="1:24">
      <c r="A956" s="755"/>
      <c r="B956" s="755"/>
      <c r="C956" s="756"/>
      <c r="D956" s="755"/>
      <c r="E956" s="755"/>
      <c r="F956" s="756"/>
      <c r="G956" s="755"/>
      <c r="H956" s="755"/>
      <c r="I956" s="757"/>
      <c r="J956" s="755"/>
      <c r="K956" s="756"/>
      <c r="L956" s="758"/>
      <c r="M956" s="758"/>
      <c r="N956" s="758"/>
      <c r="O956" s="758"/>
      <c r="P956" s="758"/>
      <c r="Q956" s="758"/>
      <c r="T956" s="758"/>
      <c r="U956" s="758"/>
      <c r="V956" s="760"/>
      <c r="W956" s="758"/>
      <c r="X956" s="758"/>
    </row>
    <row r="957" spans="1:24">
      <c r="A957" s="755"/>
      <c r="B957" s="755"/>
      <c r="C957" s="756"/>
      <c r="D957" s="755"/>
      <c r="E957" s="755"/>
      <c r="F957" s="756"/>
      <c r="G957" s="755"/>
      <c r="H957" s="755"/>
      <c r="I957" s="757"/>
      <c r="J957" s="755"/>
      <c r="K957" s="756"/>
      <c r="L957" s="758"/>
      <c r="M957" s="758"/>
      <c r="N957" s="758"/>
      <c r="O957" s="758"/>
      <c r="P957" s="758"/>
      <c r="Q957" s="758"/>
      <c r="T957" s="758"/>
      <c r="U957" s="758"/>
      <c r="V957" s="760"/>
      <c r="W957" s="758"/>
      <c r="X957" s="758"/>
    </row>
    <row r="958" spans="1:24">
      <c r="A958" s="755"/>
      <c r="B958" s="755"/>
      <c r="C958" s="756"/>
      <c r="D958" s="755"/>
      <c r="E958" s="755"/>
      <c r="F958" s="756"/>
      <c r="G958" s="755"/>
      <c r="H958" s="755"/>
      <c r="I958" s="757"/>
      <c r="J958" s="755"/>
      <c r="K958" s="756"/>
      <c r="L958" s="758"/>
      <c r="M958" s="758"/>
      <c r="N958" s="758"/>
      <c r="O958" s="758"/>
      <c r="P958" s="758"/>
      <c r="Q958" s="758"/>
      <c r="T958" s="758"/>
      <c r="U958" s="758"/>
      <c r="V958" s="760"/>
      <c r="W958" s="758"/>
      <c r="X958" s="758"/>
    </row>
    <row r="959" spans="1:24">
      <c r="A959" s="755"/>
      <c r="B959" s="755"/>
      <c r="C959" s="756"/>
      <c r="D959" s="755"/>
      <c r="E959" s="755"/>
      <c r="F959" s="756"/>
      <c r="G959" s="755"/>
      <c r="H959" s="755"/>
      <c r="I959" s="757"/>
      <c r="J959" s="755"/>
      <c r="K959" s="756"/>
      <c r="L959" s="758"/>
      <c r="M959" s="758"/>
      <c r="N959" s="758"/>
      <c r="O959" s="758"/>
      <c r="P959" s="758"/>
      <c r="Q959" s="758"/>
      <c r="T959" s="758"/>
      <c r="U959" s="758"/>
      <c r="V959" s="760"/>
      <c r="W959" s="758"/>
      <c r="X959" s="758"/>
    </row>
    <row r="960" spans="1:24">
      <c r="A960" s="755"/>
      <c r="B960" s="755"/>
      <c r="C960" s="756"/>
      <c r="D960" s="755"/>
      <c r="E960" s="755"/>
      <c r="F960" s="756"/>
      <c r="G960" s="755"/>
      <c r="H960" s="755"/>
      <c r="I960" s="757"/>
      <c r="J960" s="755"/>
      <c r="K960" s="756"/>
      <c r="L960" s="758"/>
      <c r="M960" s="758"/>
      <c r="N960" s="758"/>
      <c r="O960" s="758"/>
      <c r="P960" s="758"/>
      <c r="Q960" s="758"/>
      <c r="T960" s="758"/>
      <c r="U960" s="758"/>
      <c r="V960" s="760"/>
      <c r="W960" s="758"/>
      <c r="X960" s="758"/>
    </row>
    <row r="961" spans="1:24">
      <c r="A961" s="755"/>
      <c r="B961" s="755"/>
      <c r="C961" s="756"/>
      <c r="D961" s="755"/>
      <c r="E961" s="755"/>
      <c r="F961" s="756"/>
      <c r="G961" s="755"/>
      <c r="H961" s="755"/>
      <c r="I961" s="757"/>
      <c r="J961" s="755"/>
      <c r="K961" s="756"/>
      <c r="L961" s="758"/>
      <c r="M961" s="758"/>
      <c r="N961" s="758"/>
      <c r="O961" s="758"/>
      <c r="P961" s="758"/>
      <c r="Q961" s="758"/>
      <c r="T961" s="758"/>
      <c r="U961" s="758"/>
      <c r="V961" s="760"/>
      <c r="W961" s="758"/>
      <c r="X961" s="758"/>
    </row>
    <row r="962" spans="1:24">
      <c r="A962" s="755"/>
      <c r="B962" s="755"/>
      <c r="C962" s="756"/>
      <c r="D962" s="755"/>
      <c r="E962" s="755"/>
      <c r="F962" s="756"/>
      <c r="G962" s="755"/>
      <c r="H962" s="755"/>
      <c r="I962" s="757"/>
      <c r="J962" s="755"/>
      <c r="K962" s="756"/>
      <c r="L962" s="758"/>
      <c r="M962" s="758"/>
      <c r="N962" s="758"/>
      <c r="O962" s="758"/>
      <c r="P962" s="758"/>
      <c r="Q962" s="758"/>
      <c r="T962" s="758"/>
      <c r="U962" s="758"/>
      <c r="V962" s="760"/>
      <c r="W962" s="758"/>
      <c r="X962" s="758"/>
    </row>
    <row r="963" spans="1:24">
      <c r="A963" s="755"/>
      <c r="B963" s="755"/>
      <c r="C963" s="756"/>
      <c r="D963" s="755"/>
      <c r="E963" s="755"/>
      <c r="F963" s="756"/>
      <c r="G963" s="755"/>
      <c r="H963" s="755"/>
      <c r="I963" s="757"/>
      <c r="J963" s="755"/>
      <c r="K963" s="756"/>
      <c r="L963" s="758"/>
      <c r="M963" s="758"/>
      <c r="N963" s="758"/>
      <c r="O963" s="758"/>
      <c r="P963" s="758"/>
      <c r="Q963" s="758"/>
      <c r="T963" s="758"/>
      <c r="U963" s="758"/>
      <c r="V963" s="760"/>
      <c r="W963" s="758"/>
      <c r="X963" s="758"/>
    </row>
    <row r="964" spans="1:24">
      <c r="A964" s="755"/>
      <c r="B964" s="755"/>
      <c r="C964" s="756"/>
      <c r="D964" s="755"/>
      <c r="E964" s="755"/>
      <c r="F964" s="756"/>
      <c r="G964" s="755"/>
      <c r="H964" s="755"/>
      <c r="I964" s="757"/>
      <c r="J964" s="755"/>
      <c r="K964" s="756"/>
      <c r="L964" s="758"/>
      <c r="M964" s="758"/>
      <c r="N964" s="758"/>
      <c r="O964" s="758"/>
      <c r="P964" s="758"/>
      <c r="Q964" s="758"/>
      <c r="T964" s="758"/>
      <c r="U964" s="758"/>
      <c r="V964" s="760"/>
      <c r="W964" s="758"/>
      <c r="X964" s="758"/>
    </row>
    <row r="965" spans="1:24">
      <c r="A965" s="755"/>
      <c r="B965" s="755"/>
      <c r="C965" s="756"/>
      <c r="D965" s="755"/>
      <c r="E965" s="755"/>
      <c r="F965" s="756"/>
      <c r="G965" s="755"/>
      <c r="H965" s="755"/>
      <c r="I965" s="757"/>
      <c r="J965" s="755"/>
      <c r="K965" s="756"/>
      <c r="L965" s="758"/>
      <c r="M965" s="758"/>
      <c r="N965" s="758"/>
      <c r="O965" s="758"/>
      <c r="P965" s="758"/>
      <c r="Q965" s="758"/>
      <c r="T965" s="758"/>
      <c r="U965" s="758"/>
      <c r="V965" s="760"/>
      <c r="W965" s="758"/>
      <c r="X965" s="758"/>
    </row>
    <row r="966" spans="1:24">
      <c r="A966" s="755"/>
      <c r="B966" s="755"/>
      <c r="C966" s="756"/>
      <c r="D966" s="755"/>
      <c r="E966" s="755"/>
      <c r="F966" s="756"/>
      <c r="G966" s="755"/>
      <c r="H966" s="755"/>
      <c r="I966" s="757"/>
      <c r="J966" s="755"/>
      <c r="K966" s="756"/>
      <c r="L966" s="758"/>
      <c r="M966" s="758"/>
      <c r="N966" s="758"/>
      <c r="O966" s="758"/>
      <c r="P966" s="758"/>
      <c r="Q966" s="758"/>
      <c r="T966" s="758"/>
      <c r="U966" s="758"/>
      <c r="V966" s="760"/>
      <c r="W966" s="758"/>
      <c r="X966" s="758"/>
    </row>
    <row r="967" spans="1:24">
      <c r="A967" s="755"/>
      <c r="B967" s="755"/>
      <c r="C967" s="756"/>
      <c r="D967" s="755"/>
      <c r="E967" s="755"/>
      <c r="F967" s="756"/>
      <c r="G967" s="755"/>
      <c r="H967" s="755"/>
      <c r="I967" s="757"/>
      <c r="J967" s="755"/>
      <c r="K967" s="756"/>
      <c r="L967" s="758"/>
      <c r="M967" s="758"/>
      <c r="N967" s="758"/>
      <c r="O967" s="758"/>
      <c r="P967" s="758"/>
      <c r="Q967" s="758"/>
      <c r="T967" s="758"/>
      <c r="U967" s="758"/>
      <c r="V967" s="760"/>
      <c r="W967" s="758"/>
      <c r="X967" s="758"/>
    </row>
    <row r="968" spans="1:24">
      <c r="A968" s="755"/>
      <c r="B968" s="755"/>
      <c r="C968" s="756"/>
      <c r="D968" s="755"/>
      <c r="E968" s="755"/>
      <c r="F968" s="756"/>
      <c r="G968" s="755"/>
      <c r="H968" s="755"/>
      <c r="I968" s="757"/>
      <c r="J968" s="755"/>
      <c r="K968" s="756"/>
      <c r="L968" s="758"/>
      <c r="M968" s="758"/>
      <c r="N968" s="758"/>
      <c r="O968" s="758"/>
      <c r="P968" s="758"/>
      <c r="Q968" s="758"/>
      <c r="T968" s="758"/>
      <c r="U968" s="758"/>
      <c r="V968" s="760"/>
      <c r="W968" s="758"/>
      <c r="X968" s="758"/>
    </row>
    <row r="969" spans="1:24">
      <c r="A969" s="755"/>
      <c r="B969" s="755"/>
      <c r="C969" s="756"/>
      <c r="D969" s="755"/>
      <c r="E969" s="755"/>
      <c r="F969" s="756"/>
      <c r="G969" s="755"/>
      <c r="H969" s="755"/>
      <c r="I969" s="757"/>
      <c r="J969" s="755"/>
      <c r="K969" s="756"/>
      <c r="L969" s="758"/>
      <c r="M969" s="758"/>
      <c r="N969" s="758"/>
      <c r="O969" s="758"/>
      <c r="P969" s="758"/>
      <c r="Q969" s="758"/>
      <c r="T969" s="758"/>
      <c r="U969" s="758"/>
      <c r="V969" s="760"/>
      <c r="W969" s="758"/>
      <c r="X969" s="758"/>
    </row>
    <row r="970" spans="1:24">
      <c r="A970" s="755"/>
      <c r="B970" s="755"/>
      <c r="C970" s="756"/>
      <c r="D970" s="755"/>
      <c r="E970" s="755"/>
      <c r="F970" s="756"/>
      <c r="G970" s="755"/>
      <c r="H970" s="755"/>
      <c r="I970" s="757"/>
      <c r="J970" s="755"/>
      <c r="K970" s="756"/>
      <c r="L970" s="758"/>
      <c r="M970" s="758"/>
      <c r="N970" s="758"/>
      <c r="O970" s="758"/>
      <c r="P970" s="758"/>
      <c r="Q970" s="758"/>
      <c r="T970" s="758"/>
      <c r="U970" s="758"/>
      <c r="V970" s="760"/>
      <c r="W970" s="758"/>
      <c r="X970" s="758"/>
    </row>
    <row r="971" spans="1:24">
      <c r="A971" s="755"/>
      <c r="B971" s="755"/>
      <c r="C971" s="756"/>
      <c r="D971" s="755"/>
      <c r="E971" s="755"/>
      <c r="F971" s="756"/>
      <c r="G971" s="755"/>
      <c r="H971" s="755"/>
      <c r="I971" s="757"/>
      <c r="J971" s="755"/>
      <c r="K971" s="756"/>
      <c r="L971" s="758"/>
      <c r="M971" s="758"/>
      <c r="N971" s="758"/>
      <c r="O971" s="758"/>
      <c r="P971" s="758"/>
      <c r="Q971" s="758"/>
      <c r="T971" s="758"/>
      <c r="U971" s="758"/>
      <c r="V971" s="760"/>
      <c r="W971" s="758"/>
      <c r="X971" s="758"/>
    </row>
    <row r="972" spans="1:24">
      <c r="A972" s="755"/>
      <c r="B972" s="755"/>
      <c r="C972" s="756"/>
      <c r="D972" s="755"/>
      <c r="E972" s="755"/>
      <c r="F972" s="756"/>
      <c r="G972" s="755"/>
      <c r="H972" s="755"/>
      <c r="I972" s="757"/>
      <c r="J972" s="755"/>
      <c r="K972" s="756"/>
      <c r="L972" s="758"/>
      <c r="M972" s="758"/>
      <c r="N972" s="758"/>
      <c r="O972" s="758"/>
      <c r="P972" s="758"/>
      <c r="Q972" s="758"/>
      <c r="T972" s="758"/>
      <c r="U972" s="758"/>
      <c r="V972" s="760"/>
      <c r="W972" s="758"/>
      <c r="X972" s="758"/>
    </row>
    <row r="973" spans="1:24">
      <c r="A973" s="755"/>
      <c r="B973" s="755"/>
      <c r="C973" s="756"/>
      <c r="D973" s="755"/>
      <c r="E973" s="755"/>
      <c r="F973" s="756"/>
      <c r="G973" s="755"/>
      <c r="H973" s="755"/>
      <c r="I973" s="757"/>
      <c r="J973" s="755"/>
      <c r="K973" s="756"/>
      <c r="L973" s="758"/>
      <c r="M973" s="758"/>
      <c r="N973" s="758"/>
      <c r="O973" s="758"/>
      <c r="P973" s="758"/>
      <c r="Q973" s="758"/>
      <c r="T973" s="758"/>
      <c r="U973" s="758"/>
      <c r="V973" s="760"/>
      <c r="W973" s="758"/>
      <c r="X973" s="758"/>
    </row>
    <row r="974" spans="1:24">
      <c r="A974" s="755"/>
      <c r="B974" s="755"/>
      <c r="C974" s="756"/>
      <c r="D974" s="755"/>
      <c r="E974" s="755"/>
      <c r="F974" s="756"/>
      <c r="G974" s="755"/>
      <c r="H974" s="755"/>
      <c r="I974" s="757"/>
      <c r="J974" s="755"/>
      <c r="K974" s="756"/>
      <c r="L974" s="758"/>
      <c r="M974" s="758"/>
      <c r="N974" s="758"/>
      <c r="O974" s="758"/>
      <c r="P974" s="758"/>
      <c r="Q974" s="758"/>
      <c r="T974" s="758"/>
      <c r="U974" s="758"/>
      <c r="V974" s="760"/>
      <c r="W974" s="758"/>
      <c r="X974" s="758"/>
    </row>
    <row r="975" spans="1:24">
      <c r="A975" s="755"/>
      <c r="B975" s="755"/>
      <c r="C975" s="756"/>
      <c r="D975" s="755"/>
      <c r="E975" s="755"/>
      <c r="F975" s="756"/>
      <c r="G975" s="755"/>
      <c r="H975" s="755"/>
      <c r="I975" s="757"/>
      <c r="J975" s="755"/>
      <c r="K975" s="756"/>
      <c r="L975" s="758"/>
      <c r="M975" s="758"/>
      <c r="N975" s="758"/>
      <c r="O975" s="758"/>
      <c r="P975" s="758"/>
      <c r="Q975" s="758"/>
      <c r="T975" s="758"/>
      <c r="U975" s="758"/>
      <c r="V975" s="760"/>
      <c r="W975" s="758"/>
      <c r="X975" s="758"/>
    </row>
    <row r="976" spans="1:24">
      <c r="A976" s="755"/>
      <c r="B976" s="755"/>
      <c r="C976" s="756"/>
      <c r="D976" s="755"/>
      <c r="E976" s="755"/>
      <c r="F976" s="756"/>
      <c r="G976" s="755"/>
      <c r="H976" s="755"/>
      <c r="I976" s="757"/>
      <c r="J976" s="755"/>
      <c r="K976" s="756"/>
      <c r="L976" s="758"/>
      <c r="M976" s="758"/>
      <c r="N976" s="758"/>
      <c r="O976" s="758"/>
      <c r="P976" s="758"/>
      <c r="Q976" s="758"/>
      <c r="T976" s="758"/>
      <c r="U976" s="758"/>
      <c r="V976" s="760"/>
      <c r="W976" s="758"/>
      <c r="X976" s="758"/>
    </row>
    <row r="977" spans="1:24">
      <c r="A977" s="755"/>
      <c r="B977" s="755"/>
      <c r="C977" s="756"/>
      <c r="D977" s="755"/>
      <c r="E977" s="755"/>
      <c r="F977" s="756"/>
      <c r="G977" s="755"/>
      <c r="H977" s="755"/>
      <c r="I977" s="757"/>
      <c r="J977" s="755"/>
      <c r="K977" s="756"/>
      <c r="L977" s="758"/>
      <c r="M977" s="758"/>
      <c r="N977" s="758"/>
      <c r="O977" s="758"/>
      <c r="P977" s="758"/>
      <c r="Q977" s="758"/>
      <c r="T977" s="758"/>
      <c r="U977" s="758"/>
      <c r="V977" s="760"/>
      <c r="W977" s="758"/>
      <c r="X977" s="758"/>
    </row>
    <row r="978" spans="1:24">
      <c r="A978" s="755"/>
      <c r="B978" s="755"/>
      <c r="C978" s="756"/>
      <c r="D978" s="755"/>
      <c r="E978" s="755"/>
      <c r="F978" s="756"/>
      <c r="G978" s="755"/>
      <c r="H978" s="755"/>
      <c r="I978" s="757"/>
      <c r="J978" s="755"/>
      <c r="K978" s="756"/>
      <c r="L978" s="758"/>
      <c r="M978" s="758"/>
      <c r="N978" s="758"/>
      <c r="O978" s="758"/>
      <c r="P978" s="758"/>
      <c r="Q978" s="758"/>
      <c r="T978" s="758"/>
      <c r="U978" s="758"/>
      <c r="V978" s="760"/>
      <c r="W978" s="758"/>
      <c r="X978" s="758"/>
    </row>
    <row r="979" spans="1:24">
      <c r="A979" s="755"/>
      <c r="B979" s="755"/>
      <c r="C979" s="756"/>
      <c r="D979" s="755"/>
      <c r="E979" s="755"/>
      <c r="F979" s="756"/>
      <c r="G979" s="755"/>
      <c r="H979" s="755"/>
      <c r="I979" s="757"/>
      <c r="J979" s="755"/>
      <c r="K979" s="756"/>
      <c r="L979" s="758"/>
      <c r="M979" s="758"/>
      <c r="N979" s="758"/>
      <c r="O979" s="758"/>
      <c r="P979" s="758"/>
      <c r="Q979" s="758"/>
      <c r="T979" s="758"/>
      <c r="U979" s="758"/>
      <c r="V979" s="760"/>
      <c r="W979" s="758"/>
      <c r="X979" s="758"/>
    </row>
    <row r="980" spans="1:24">
      <c r="A980" s="755"/>
      <c r="B980" s="755"/>
      <c r="C980" s="756"/>
      <c r="D980" s="755"/>
      <c r="E980" s="755"/>
      <c r="F980" s="756"/>
      <c r="G980" s="755"/>
      <c r="H980" s="755"/>
      <c r="I980" s="757"/>
      <c r="J980" s="755"/>
      <c r="K980" s="756"/>
      <c r="L980" s="758"/>
      <c r="M980" s="758"/>
      <c r="N980" s="758"/>
      <c r="O980" s="758"/>
      <c r="P980" s="758"/>
      <c r="Q980" s="758"/>
      <c r="T980" s="758"/>
      <c r="U980" s="758"/>
      <c r="V980" s="760"/>
      <c r="W980" s="758"/>
      <c r="X980" s="758"/>
    </row>
    <row r="981" spans="1:24">
      <c r="A981" s="755"/>
      <c r="B981" s="755"/>
      <c r="C981" s="756"/>
      <c r="D981" s="755"/>
      <c r="E981" s="755"/>
      <c r="F981" s="756"/>
      <c r="G981" s="755"/>
      <c r="H981" s="755"/>
      <c r="I981" s="757"/>
      <c r="J981" s="755"/>
      <c r="K981" s="756"/>
      <c r="L981" s="758"/>
      <c r="M981" s="758"/>
      <c r="N981" s="758"/>
      <c r="O981" s="758"/>
      <c r="P981" s="758"/>
      <c r="Q981" s="758"/>
      <c r="T981" s="758"/>
      <c r="U981" s="758"/>
      <c r="V981" s="760"/>
      <c r="W981" s="758"/>
      <c r="X981" s="758"/>
    </row>
    <row r="982" spans="1:24">
      <c r="A982" s="755"/>
      <c r="B982" s="755"/>
      <c r="C982" s="756"/>
      <c r="D982" s="755"/>
      <c r="E982" s="755"/>
      <c r="F982" s="756"/>
      <c r="G982" s="755"/>
      <c r="H982" s="755"/>
      <c r="I982" s="757"/>
      <c r="J982" s="755"/>
      <c r="K982" s="756"/>
      <c r="L982" s="758"/>
      <c r="M982" s="758"/>
      <c r="N982" s="758"/>
      <c r="O982" s="758"/>
      <c r="P982" s="758"/>
      <c r="Q982" s="758"/>
      <c r="T982" s="758"/>
      <c r="U982" s="758"/>
      <c r="V982" s="760"/>
      <c r="W982" s="758"/>
      <c r="X982" s="758"/>
    </row>
    <row r="983" spans="1:24">
      <c r="A983" s="755"/>
      <c r="B983" s="755"/>
      <c r="C983" s="756"/>
      <c r="D983" s="755"/>
      <c r="E983" s="755"/>
      <c r="F983" s="756"/>
      <c r="G983" s="755"/>
      <c r="H983" s="755"/>
      <c r="I983" s="757"/>
      <c r="J983" s="755"/>
      <c r="K983" s="756"/>
      <c r="L983" s="758"/>
      <c r="M983" s="758"/>
      <c r="N983" s="758"/>
      <c r="O983" s="758"/>
      <c r="P983" s="758"/>
      <c r="Q983" s="758"/>
      <c r="T983" s="758"/>
      <c r="U983" s="758"/>
      <c r="V983" s="760"/>
      <c r="W983" s="758"/>
      <c r="X983" s="758"/>
    </row>
    <row r="984" spans="1:24">
      <c r="A984" s="755"/>
      <c r="B984" s="755"/>
      <c r="C984" s="756"/>
      <c r="D984" s="755"/>
      <c r="E984" s="755"/>
      <c r="F984" s="756"/>
      <c r="G984" s="755"/>
      <c r="H984" s="755"/>
      <c r="I984" s="757"/>
      <c r="J984" s="755"/>
      <c r="K984" s="756"/>
      <c r="L984" s="758"/>
      <c r="M984" s="758"/>
      <c r="N984" s="758"/>
      <c r="O984" s="758"/>
      <c r="P984" s="758"/>
      <c r="Q984" s="758"/>
      <c r="T984" s="758"/>
      <c r="U984" s="758"/>
      <c r="V984" s="760"/>
      <c r="W984" s="758"/>
      <c r="X984" s="758"/>
    </row>
    <row r="985" spans="1:24">
      <c r="A985" s="755"/>
      <c r="B985" s="755"/>
      <c r="C985" s="756"/>
      <c r="D985" s="755"/>
      <c r="E985" s="755"/>
      <c r="F985" s="756"/>
      <c r="G985" s="755"/>
      <c r="H985" s="755"/>
      <c r="I985" s="757"/>
      <c r="J985" s="755"/>
      <c r="K985" s="756"/>
      <c r="L985" s="758"/>
      <c r="M985" s="758"/>
      <c r="N985" s="758"/>
      <c r="O985" s="758"/>
      <c r="P985" s="758"/>
      <c r="Q985" s="758"/>
      <c r="T985" s="758"/>
      <c r="U985" s="758"/>
      <c r="V985" s="760"/>
      <c r="W985" s="758"/>
      <c r="X985" s="758"/>
    </row>
    <row r="986" spans="1:24">
      <c r="A986" s="755"/>
      <c r="B986" s="755"/>
      <c r="C986" s="756"/>
      <c r="D986" s="755"/>
      <c r="E986" s="755"/>
      <c r="F986" s="756"/>
      <c r="G986" s="755"/>
      <c r="H986" s="755"/>
      <c r="I986" s="757"/>
      <c r="J986" s="755"/>
      <c r="K986" s="756"/>
      <c r="L986" s="758"/>
      <c r="M986" s="758"/>
      <c r="N986" s="758"/>
      <c r="O986" s="758"/>
      <c r="P986" s="758"/>
      <c r="Q986" s="758"/>
      <c r="T986" s="758"/>
      <c r="U986" s="758"/>
      <c r="V986" s="760"/>
      <c r="W986" s="758"/>
      <c r="X986" s="758"/>
    </row>
    <row r="987" spans="1:24">
      <c r="A987" s="755"/>
      <c r="B987" s="755"/>
      <c r="C987" s="756"/>
      <c r="D987" s="755"/>
      <c r="E987" s="755"/>
      <c r="F987" s="756"/>
      <c r="G987" s="755"/>
      <c r="H987" s="755"/>
      <c r="I987" s="757"/>
      <c r="J987" s="755"/>
      <c r="K987" s="756"/>
      <c r="L987" s="758"/>
      <c r="M987" s="758"/>
      <c r="N987" s="758"/>
      <c r="O987" s="758"/>
      <c r="P987" s="758"/>
      <c r="Q987" s="758"/>
      <c r="T987" s="758"/>
      <c r="U987" s="758"/>
      <c r="V987" s="760"/>
      <c r="W987" s="758"/>
      <c r="X987" s="758"/>
    </row>
    <row r="988" spans="1:24">
      <c r="A988" s="755"/>
      <c r="B988" s="755"/>
      <c r="C988" s="756"/>
      <c r="D988" s="755"/>
      <c r="E988" s="755"/>
      <c r="F988" s="756"/>
      <c r="G988" s="755"/>
      <c r="H988" s="755"/>
      <c r="I988" s="757"/>
      <c r="J988" s="755"/>
      <c r="K988" s="756"/>
      <c r="L988" s="758"/>
      <c r="M988" s="758"/>
      <c r="N988" s="758"/>
      <c r="O988" s="758"/>
      <c r="P988" s="758"/>
      <c r="Q988" s="758"/>
      <c r="T988" s="758"/>
      <c r="U988" s="758"/>
      <c r="V988" s="760"/>
      <c r="W988" s="758"/>
      <c r="X988" s="758"/>
    </row>
    <row r="989" spans="1:24">
      <c r="A989" s="755"/>
      <c r="B989" s="755"/>
      <c r="C989" s="756"/>
      <c r="D989" s="755"/>
      <c r="E989" s="755"/>
      <c r="F989" s="756"/>
      <c r="G989" s="755"/>
      <c r="H989" s="755"/>
      <c r="I989" s="757"/>
      <c r="J989" s="755"/>
      <c r="K989" s="756"/>
      <c r="L989" s="758"/>
      <c r="M989" s="758"/>
      <c r="N989" s="758"/>
      <c r="O989" s="758"/>
      <c r="P989" s="758"/>
      <c r="Q989" s="758"/>
      <c r="T989" s="758"/>
      <c r="U989" s="758"/>
      <c r="V989" s="760"/>
      <c r="W989" s="758"/>
      <c r="X989" s="758"/>
    </row>
    <row r="990" spans="1:24">
      <c r="A990" s="755"/>
      <c r="B990" s="755"/>
      <c r="C990" s="756"/>
      <c r="D990" s="755"/>
      <c r="E990" s="755"/>
      <c r="F990" s="756"/>
      <c r="G990" s="755"/>
      <c r="H990" s="755"/>
      <c r="I990" s="757"/>
      <c r="J990" s="755"/>
      <c r="K990" s="756"/>
      <c r="L990" s="758"/>
      <c r="M990" s="758"/>
      <c r="N990" s="758"/>
      <c r="O990" s="758"/>
      <c r="P990" s="758"/>
      <c r="Q990" s="758"/>
      <c r="T990" s="758"/>
      <c r="U990" s="758"/>
      <c r="V990" s="760"/>
      <c r="W990" s="758"/>
      <c r="X990" s="758"/>
    </row>
    <row r="991" spans="1:24">
      <c r="A991" s="755"/>
      <c r="B991" s="755"/>
      <c r="C991" s="756"/>
      <c r="D991" s="755"/>
      <c r="E991" s="755"/>
      <c r="F991" s="756"/>
      <c r="G991" s="755"/>
      <c r="H991" s="755"/>
      <c r="I991" s="757"/>
      <c r="J991" s="755"/>
      <c r="K991" s="756"/>
      <c r="L991" s="758"/>
      <c r="M991" s="758"/>
      <c r="N991" s="758"/>
      <c r="O991" s="758"/>
      <c r="P991" s="758"/>
      <c r="Q991" s="758"/>
      <c r="T991" s="758"/>
      <c r="U991" s="758"/>
      <c r="V991" s="760"/>
      <c r="W991" s="758"/>
      <c r="X991" s="758"/>
    </row>
    <row r="992" spans="1:24">
      <c r="A992" s="755"/>
      <c r="B992" s="755"/>
      <c r="C992" s="756"/>
      <c r="D992" s="755"/>
      <c r="E992" s="755"/>
      <c r="F992" s="756"/>
      <c r="G992" s="755"/>
      <c r="H992" s="755"/>
      <c r="I992" s="757"/>
      <c r="J992" s="755"/>
      <c r="K992" s="756"/>
      <c r="L992" s="758"/>
      <c r="M992" s="758"/>
      <c r="N992" s="758"/>
      <c r="O992" s="758"/>
      <c r="P992" s="758"/>
      <c r="Q992" s="758"/>
      <c r="T992" s="758"/>
      <c r="U992" s="758"/>
      <c r="V992" s="760"/>
      <c r="W992" s="758"/>
      <c r="X992" s="758"/>
    </row>
    <row r="993" spans="1:24">
      <c r="A993" s="755"/>
      <c r="B993" s="755"/>
      <c r="C993" s="756"/>
      <c r="D993" s="755"/>
      <c r="E993" s="755"/>
      <c r="F993" s="756"/>
      <c r="G993" s="755"/>
      <c r="H993" s="755"/>
      <c r="I993" s="757"/>
      <c r="J993" s="755"/>
      <c r="K993" s="756"/>
      <c r="L993" s="758"/>
      <c r="M993" s="758"/>
      <c r="N993" s="758"/>
      <c r="O993" s="758"/>
      <c r="P993" s="758"/>
      <c r="Q993" s="758"/>
      <c r="T993" s="758"/>
      <c r="U993" s="758"/>
      <c r="V993" s="760"/>
      <c r="W993" s="758"/>
      <c r="X993" s="758"/>
    </row>
    <row r="994" spans="1:24">
      <c r="A994" s="755"/>
      <c r="B994" s="755"/>
      <c r="C994" s="756"/>
      <c r="D994" s="755"/>
      <c r="E994" s="755"/>
      <c r="F994" s="756"/>
      <c r="G994" s="755"/>
      <c r="H994" s="755"/>
      <c r="I994" s="757"/>
      <c r="J994" s="755"/>
      <c r="K994" s="756"/>
      <c r="L994" s="758"/>
      <c r="M994" s="758"/>
      <c r="N994" s="758"/>
      <c r="O994" s="758"/>
      <c r="P994" s="758"/>
      <c r="Q994" s="758"/>
      <c r="T994" s="758"/>
      <c r="U994" s="758"/>
      <c r="V994" s="760"/>
      <c r="W994" s="758"/>
      <c r="X994" s="758"/>
    </row>
    <row r="995" spans="1:24">
      <c r="A995" s="755"/>
      <c r="B995" s="755"/>
      <c r="C995" s="756"/>
      <c r="D995" s="755"/>
      <c r="E995" s="755"/>
      <c r="F995" s="756"/>
      <c r="G995" s="755"/>
      <c r="H995" s="755"/>
      <c r="I995" s="757"/>
      <c r="J995" s="755"/>
      <c r="K995" s="756"/>
      <c r="L995" s="758"/>
      <c r="M995" s="758"/>
      <c r="N995" s="758"/>
      <c r="O995" s="758"/>
      <c r="P995" s="758"/>
      <c r="Q995" s="758"/>
      <c r="T995" s="758"/>
      <c r="U995" s="758"/>
      <c r="V995" s="760"/>
      <c r="W995" s="758"/>
      <c r="X995" s="758"/>
    </row>
    <row r="996" spans="1:24">
      <c r="A996" s="755"/>
      <c r="B996" s="755"/>
      <c r="C996" s="756"/>
      <c r="D996" s="755"/>
      <c r="E996" s="755"/>
      <c r="F996" s="756"/>
      <c r="G996" s="755"/>
      <c r="H996" s="755"/>
      <c r="I996" s="757"/>
      <c r="J996" s="755"/>
      <c r="K996" s="756"/>
      <c r="L996" s="758"/>
      <c r="M996" s="758"/>
      <c r="N996" s="758"/>
      <c r="O996" s="758"/>
      <c r="P996" s="758"/>
      <c r="Q996" s="758"/>
      <c r="T996" s="758"/>
      <c r="U996" s="758"/>
      <c r="V996" s="760"/>
      <c r="W996" s="758"/>
      <c r="X996" s="758"/>
    </row>
    <row r="997" spans="1:24">
      <c r="A997" s="755"/>
      <c r="B997" s="755"/>
      <c r="C997" s="756"/>
      <c r="D997" s="755"/>
      <c r="E997" s="755"/>
      <c r="F997" s="756"/>
      <c r="G997" s="755"/>
      <c r="H997" s="755"/>
      <c r="I997" s="757"/>
      <c r="J997" s="755"/>
      <c r="K997" s="756"/>
      <c r="L997" s="758"/>
      <c r="M997" s="758"/>
      <c r="N997" s="758"/>
      <c r="O997" s="758"/>
      <c r="P997" s="758"/>
      <c r="Q997" s="758"/>
      <c r="T997" s="758"/>
      <c r="U997" s="758"/>
      <c r="V997" s="760"/>
      <c r="W997" s="758"/>
      <c r="X997" s="758"/>
    </row>
    <row r="998" spans="1:24">
      <c r="A998" s="755"/>
      <c r="B998" s="755"/>
      <c r="C998" s="756"/>
      <c r="D998" s="755"/>
      <c r="E998" s="755"/>
      <c r="F998" s="756"/>
      <c r="G998" s="755"/>
      <c r="H998" s="755"/>
      <c r="I998" s="757"/>
      <c r="J998" s="755"/>
      <c r="K998" s="756"/>
      <c r="L998" s="758"/>
      <c r="M998" s="758"/>
      <c r="N998" s="758"/>
      <c r="O998" s="758"/>
      <c r="P998" s="758"/>
      <c r="Q998" s="758"/>
      <c r="T998" s="758"/>
      <c r="U998" s="758"/>
      <c r="V998" s="760"/>
      <c r="W998" s="758"/>
      <c r="X998" s="758"/>
    </row>
    <row r="999" spans="1:24">
      <c r="A999" s="755"/>
      <c r="B999" s="755"/>
      <c r="C999" s="756"/>
      <c r="D999" s="755"/>
      <c r="E999" s="755"/>
      <c r="F999" s="756"/>
      <c r="G999" s="755"/>
      <c r="H999" s="755"/>
      <c r="I999" s="757"/>
      <c r="J999" s="755"/>
      <c r="K999" s="756"/>
      <c r="L999" s="758"/>
      <c r="M999" s="758"/>
      <c r="N999" s="758"/>
      <c r="O999" s="758"/>
      <c r="P999" s="758"/>
      <c r="Q999" s="758"/>
      <c r="T999" s="758"/>
      <c r="U999" s="758"/>
      <c r="V999" s="760"/>
      <c r="W999" s="758"/>
      <c r="X999" s="758"/>
    </row>
    <row r="1000" spans="1:24">
      <c r="A1000" s="755"/>
      <c r="B1000" s="755"/>
      <c r="C1000" s="756"/>
      <c r="D1000" s="755"/>
      <c r="E1000" s="755"/>
      <c r="F1000" s="756"/>
      <c r="G1000" s="755"/>
      <c r="H1000" s="755"/>
      <c r="I1000" s="757"/>
      <c r="J1000" s="755"/>
      <c r="K1000" s="756"/>
      <c r="L1000" s="758"/>
      <c r="M1000" s="758"/>
      <c r="N1000" s="758"/>
      <c r="O1000" s="758"/>
      <c r="P1000" s="758"/>
      <c r="Q1000" s="758"/>
      <c r="T1000" s="758"/>
      <c r="U1000" s="758"/>
      <c r="V1000" s="760"/>
      <c r="W1000" s="758"/>
      <c r="X1000" s="758"/>
    </row>
    <row r="1001" spans="1:24">
      <c r="A1001" s="755"/>
      <c r="B1001" s="755"/>
      <c r="C1001" s="756"/>
      <c r="D1001" s="755"/>
      <c r="E1001" s="755"/>
      <c r="F1001" s="756"/>
      <c r="G1001" s="755"/>
      <c r="H1001" s="755"/>
      <c r="I1001" s="757"/>
      <c r="J1001" s="755"/>
      <c r="K1001" s="756"/>
      <c r="L1001" s="758"/>
      <c r="M1001" s="758"/>
      <c r="N1001" s="758"/>
      <c r="O1001" s="758"/>
      <c r="P1001" s="758"/>
      <c r="Q1001" s="758"/>
      <c r="T1001" s="758"/>
      <c r="U1001" s="758"/>
      <c r="V1001" s="760"/>
      <c r="W1001" s="758"/>
      <c r="X1001" s="758"/>
    </row>
    <row r="1002" spans="1:24">
      <c r="A1002" s="755"/>
      <c r="B1002" s="755"/>
      <c r="C1002" s="756"/>
      <c r="D1002" s="755"/>
      <c r="E1002" s="755"/>
      <c r="F1002" s="756"/>
      <c r="G1002" s="755"/>
      <c r="H1002" s="755"/>
      <c r="I1002" s="757"/>
      <c r="J1002" s="755"/>
      <c r="K1002" s="756"/>
      <c r="L1002" s="758"/>
      <c r="M1002" s="758"/>
      <c r="N1002" s="758"/>
      <c r="O1002" s="758"/>
      <c r="P1002" s="758"/>
      <c r="Q1002" s="758"/>
      <c r="T1002" s="758"/>
      <c r="U1002" s="758"/>
      <c r="V1002" s="760"/>
      <c r="W1002" s="758"/>
      <c r="X1002" s="758"/>
    </row>
    <row r="1003" spans="1:24">
      <c r="A1003" s="755"/>
      <c r="B1003" s="755"/>
      <c r="C1003" s="756"/>
      <c r="D1003" s="755"/>
      <c r="E1003" s="755"/>
      <c r="F1003" s="756"/>
      <c r="G1003" s="755"/>
      <c r="H1003" s="755"/>
      <c r="I1003" s="757"/>
      <c r="J1003" s="755"/>
      <c r="K1003" s="756"/>
      <c r="L1003" s="758"/>
      <c r="M1003" s="758"/>
      <c r="N1003" s="758"/>
      <c r="O1003" s="758"/>
      <c r="P1003" s="758"/>
      <c r="Q1003" s="758"/>
      <c r="T1003" s="758"/>
      <c r="U1003" s="758"/>
      <c r="V1003" s="760"/>
      <c r="W1003" s="758"/>
      <c r="X1003" s="758"/>
    </row>
    <row r="1004" spans="1:24">
      <c r="A1004" s="755"/>
      <c r="B1004" s="755"/>
      <c r="C1004" s="756"/>
      <c r="D1004" s="755"/>
      <c r="E1004" s="755"/>
      <c r="F1004" s="756"/>
      <c r="G1004" s="755"/>
      <c r="H1004" s="755"/>
      <c r="I1004" s="757"/>
      <c r="J1004" s="755"/>
      <c r="K1004" s="756"/>
      <c r="L1004" s="758"/>
      <c r="M1004" s="758"/>
      <c r="N1004" s="758"/>
      <c r="O1004" s="758"/>
      <c r="P1004" s="758"/>
      <c r="Q1004" s="758"/>
      <c r="T1004" s="758"/>
      <c r="U1004" s="758"/>
      <c r="V1004" s="760"/>
      <c r="W1004" s="758"/>
      <c r="X1004" s="758"/>
    </row>
    <row r="1005" spans="1:24">
      <c r="A1005" s="755"/>
      <c r="B1005" s="755"/>
      <c r="C1005" s="756"/>
      <c r="D1005" s="755"/>
      <c r="E1005" s="755"/>
      <c r="F1005" s="756"/>
      <c r="G1005" s="755"/>
      <c r="H1005" s="755"/>
      <c r="I1005" s="757"/>
      <c r="J1005" s="755"/>
      <c r="K1005" s="756"/>
      <c r="L1005" s="758"/>
      <c r="M1005" s="758"/>
      <c r="N1005" s="758"/>
      <c r="O1005" s="758"/>
      <c r="P1005" s="758"/>
      <c r="Q1005" s="758"/>
      <c r="T1005" s="758"/>
      <c r="U1005" s="758"/>
      <c r="V1005" s="760"/>
      <c r="W1005" s="758"/>
      <c r="X1005" s="758"/>
    </row>
    <row r="1006" spans="1:24">
      <c r="A1006" s="755"/>
      <c r="B1006" s="755"/>
      <c r="C1006" s="756"/>
      <c r="D1006" s="755"/>
      <c r="E1006" s="755"/>
      <c r="F1006" s="756"/>
      <c r="G1006" s="755"/>
      <c r="H1006" s="755"/>
      <c r="I1006" s="757"/>
      <c r="J1006" s="755"/>
      <c r="K1006" s="756"/>
      <c r="L1006" s="758"/>
      <c r="M1006" s="758"/>
      <c r="N1006" s="758"/>
      <c r="O1006" s="758"/>
      <c r="P1006" s="758"/>
      <c r="Q1006" s="758"/>
      <c r="T1006" s="758"/>
      <c r="U1006" s="758"/>
      <c r="V1006" s="760"/>
      <c r="W1006" s="758"/>
      <c r="X1006" s="758"/>
    </row>
    <row r="1007" spans="1:24">
      <c r="A1007" s="755"/>
      <c r="B1007" s="755"/>
      <c r="C1007" s="756"/>
      <c r="D1007" s="755"/>
      <c r="E1007" s="755"/>
      <c r="F1007" s="756"/>
      <c r="G1007" s="755"/>
      <c r="H1007" s="755"/>
      <c r="I1007" s="757"/>
      <c r="J1007" s="755"/>
      <c r="K1007" s="756"/>
      <c r="L1007" s="758"/>
      <c r="M1007" s="758"/>
      <c r="N1007" s="758"/>
      <c r="O1007" s="758"/>
      <c r="P1007" s="758"/>
      <c r="Q1007" s="758"/>
      <c r="T1007" s="758"/>
      <c r="U1007" s="758"/>
      <c r="V1007" s="760"/>
      <c r="W1007" s="758"/>
      <c r="X1007" s="758"/>
    </row>
    <row r="1008" spans="1:24">
      <c r="A1008" s="755"/>
      <c r="B1008" s="755"/>
      <c r="C1008" s="756"/>
      <c r="D1008" s="755"/>
      <c r="E1008" s="755"/>
      <c r="F1008" s="756"/>
      <c r="G1008" s="755"/>
      <c r="H1008" s="755"/>
      <c r="I1008" s="757"/>
      <c r="J1008" s="755"/>
      <c r="K1008" s="756"/>
      <c r="L1008" s="758"/>
      <c r="M1008" s="758"/>
      <c r="N1008" s="758"/>
      <c r="O1008" s="758"/>
      <c r="P1008" s="758"/>
      <c r="Q1008" s="758"/>
      <c r="T1008" s="758"/>
      <c r="U1008" s="758"/>
      <c r="V1008" s="760"/>
      <c r="W1008" s="758"/>
      <c r="X1008" s="758"/>
    </row>
    <row r="1009" spans="1:24">
      <c r="A1009" s="755"/>
      <c r="B1009" s="755"/>
      <c r="C1009" s="756"/>
      <c r="D1009" s="755"/>
      <c r="E1009" s="755"/>
      <c r="F1009" s="756"/>
      <c r="G1009" s="755"/>
      <c r="H1009" s="755"/>
      <c r="I1009" s="757"/>
      <c r="J1009" s="755"/>
      <c r="K1009" s="756"/>
      <c r="L1009" s="758"/>
      <c r="M1009" s="758"/>
      <c r="N1009" s="758"/>
      <c r="O1009" s="758"/>
      <c r="P1009" s="758"/>
      <c r="Q1009" s="758"/>
      <c r="T1009" s="758"/>
      <c r="U1009" s="758"/>
      <c r="V1009" s="760"/>
      <c r="W1009" s="758"/>
      <c r="X1009" s="758"/>
    </row>
    <row r="1010" spans="1:24">
      <c r="A1010" s="755"/>
      <c r="B1010" s="755"/>
      <c r="C1010" s="756"/>
      <c r="D1010" s="755"/>
      <c r="E1010" s="755"/>
      <c r="F1010" s="756"/>
      <c r="G1010" s="755"/>
      <c r="H1010" s="755"/>
      <c r="I1010" s="757"/>
      <c r="J1010" s="755"/>
      <c r="K1010" s="756"/>
      <c r="L1010" s="758"/>
      <c r="M1010" s="758"/>
      <c r="N1010" s="758"/>
      <c r="O1010" s="758"/>
      <c r="P1010" s="758"/>
      <c r="Q1010" s="758"/>
      <c r="T1010" s="758"/>
      <c r="U1010" s="758"/>
      <c r="V1010" s="760"/>
      <c r="W1010" s="758"/>
      <c r="X1010" s="758"/>
    </row>
    <row r="1011" spans="1:24">
      <c r="A1011" s="755"/>
      <c r="B1011" s="755"/>
      <c r="C1011" s="756"/>
      <c r="D1011" s="755"/>
      <c r="E1011" s="755"/>
      <c r="F1011" s="756"/>
      <c r="G1011" s="755"/>
      <c r="H1011" s="755"/>
      <c r="I1011" s="757"/>
      <c r="J1011" s="755"/>
      <c r="K1011" s="756"/>
      <c r="L1011" s="758"/>
      <c r="M1011" s="758"/>
      <c r="N1011" s="758"/>
      <c r="O1011" s="758"/>
      <c r="P1011" s="758"/>
      <c r="Q1011" s="758"/>
      <c r="T1011" s="758"/>
      <c r="U1011" s="758"/>
      <c r="V1011" s="760"/>
      <c r="W1011" s="758"/>
      <c r="X1011" s="758"/>
    </row>
    <row r="1012" spans="1:24">
      <c r="A1012" s="755"/>
      <c r="B1012" s="755"/>
      <c r="C1012" s="756"/>
      <c r="D1012" s="755"/>
      <c r="E1012" s="755"/>
      <c r="F1012" s="756"/>
      <c r="G1012" s="755"/>
      <c r="H1012" s="755"/>
      <c r="I1012" s="757"/>
      <c r="J1012" s="755"/>
      <c r="K1012" s="756"/>
      <c r="L1012" s="758"/>
      <c r="M1012" s="758"/>
      <c r="N1012" s="758"/>
      <c r="O1012" s="758"/>
      <c r="P1012" s="758"/>
      <c r="Q1012" s="758"/>
      <c r="T1012" s="758"/>
      <c r="U1012" s="758"/>
      <c r="V1012" s="760"/>
      <c r="W1012" s="758"/>
      <c r="X1012" s="758"/>
    </row>
    <row r="1013" spans="1:24">
      <c r="A1013" s="755"/>
      <c r="B1013" s="755"/>
      <c r="C1013" s="756"/>
      <c r="D1013" s="755"/>
      <c r="E1013" s="755"/>
      <c r="F1013" s="756"/>
      <c r="G1013" s="755"/>
      <c r="H1013" s="755"/>
      <c r="I1013" s="757"/>
      <c r="J1013" s="755"/>
      <c r="K1013" s="756"/>
      <c r="L1013" s="758"/>
      <c r="M1013" s="758"/>
      <c r="N1013" s="758"/>
      <c r="O1013" s="758"/>
      <c r="P1013" s="758"/>
      <c r="Q1013" s="758"/>
      <c r="T1013" s="758"/>
      <c r="U1013" s="758"/>
      <c r="V1013" s="760"/>
      <c r="W1013" s="758"/>
      <c r="X1013" s="758"/>
    </row>
    <row r="1014" spans="1:24">
      <c r="A1014" s="755"/>
      <c r="B1014" s="755"/>
      <c r="C1014" s="756"/>
      <c r="D1014" s="755"/>
      <c r="E1014" s="755"/>
      <c r="F1014" s="756"/>
      <c r="G1014" s="755"/>
      <c r="H1014" s="755"/>
      <c r="I1014" s="757"/>
      <c r="J1014" s="755"/>
      <c r="K1014" s="756"/>
      <c r="L1014" s="758"/>
      <c r="M1014" s="758"/>
      <c r="N1014" s="758"/>
      <c r="O1014" s="758"/>
      <c r="P1014" s="758"/>
      <c r="Q1014" s="758"/>
      <c r="T1014" s="758"/>
      <c r="U1014" s="758"/>
      <c r="V1014" s="760"/>
      <c r="W1014" s="758"/>
      <c r="X1014" s="758"/>
    </row>
    <row r="1015" spans="1:24">
      <c r="A1015" s="755"/>
      <c r="B1015" s="755"/>
      <c r="C1015" s="756"/>
      <c r="D1015" s="755"/>
      <c r="E1015" s="755"/>
      <c r="F1015" s="756"/>
      <c r="G1015" s="755"/>
      <c r="H1015" s="755"/>
      <c r="I1015" s="757"/>
      <c r="J1015" s="755"/>
      <c r="K1015" s="756"/>
      <c r="L1015" s="758"/>
      <c r="M1015" s="758"/>
      <c r="N1015" s="758"/>
      <c r="O1015" s="758"/>
      <c r="P1015" s="758"/>
      <c r="Q1015" s="758"/>
      <c r="T1015" s="758"/>
      <c r="U1015" s="758"/>
      <c r="V1015" s="760"/>
      <c r="W1015" s="758"/>
      <c r="X1015" s="758"/>
    </row>
    <row r="1016" spans="1:24">
      <c r="A1016" s="755"/>
      <c r="B1016" s="755"/>
      <c r="C1016" s="756"/>
      <c r="D1016" s="755"/>
      <c r="E1016" s="755"/>
      <c r="F1016" s="756"/>
      <c r="G1016" s="755"/>
      <c r="H1016" s="755"/>
      <c r="I1016" s="757"/>
      <c r="J1016" s="755"/>
      <c r="K1016" s="756"/>
      <c r="L1016" s="758"/>
      <c r="M1016" s="758"/>
      <c r="N1016" s="758"/>
      <c r="O1016" s="758"/>
      <c r="P1016" s="758"/>
      <c r="Q1016" s="758"/>
      <c r="T1016" s="758"/>
      <c r="U1016" s="758"/>
      <c r="V1016" s="760"/>
      <c r="W1016" s="758"/>
      <c r="X1016" s="758"/>
    </row>
    <row r="1017" spans="1:24">
      <c r="A1017" s="755"/>
      <c r="B1017" s="755"/>
      <c r="C1017" s="756"/>
      <c r="D1017" s="755"/>
      <c r="E1017" s="755"/>
      <c r="F1017" s="756"/>
      <c r="G1017" s="755"/>
      <c r="H1017" s="755"/>
      <c r="I1017" s="757"/>
      <c r="J1017" s="755"/>
      <c r="K1017" s="756"/>
      <c r="L1017" s="758"/>
      <c r="M1017" s="758"/>
      <c r="N1017" s="758"/>
      <c r="O1017" s="758"/>
      <c r="P1017" s="758"/>
      <c r="Q1017" s="758"/>
      <c r="T1017" s="758"/>
      <c r="U1017" s="758"/>
      <c r="V1017" s="760"/>
      <c r="W1017" s="758"/>
      <c r="X1017" s="758"/>
    </row>
    <row r="1018" spans="1:24">
      <c r="A1018" s="755"/>
      <c r="B1018" s="755"/>
      <c r="C1018" s="756"/>
      <c r="D1018" s="755"/>
      <c r="E1018" s="755"/>
      <c r="F1018" s="756"/>
      <c r="G1018" s="755"/>
      <c r="H1018" s="755"/>
      <c r="I1018" s="757"/>
      <c r="J1018" s="755"/>
      <c r="K1018" s="756"/>
      <c r="L1018" s="758"/>
      <c r="M1018" s="758"/>
      <c r="N1018" s="758"/>
      <c r="O1018" s="758"/>
      <c r="P1018" s="758"/>
      <c r="Q1018" s="758"/>
      <c r="T1018" s="758"/>
      <c r="U1018" s="758"/>
      <c r="V1018" s="760"/>
      <c r="W1018" s="758"/>
      <c r="X1018" s="758"/>
    </row>
    <row r="1019" spans="1:24">
      <c r="A1019" s="755"/>
      <c r="B1019" s="755"/>
      <c r="C1019" s="756"/>
      <c r="D1019" s="755"/>
      <c r="E1019" s="755"/>
      <c r="F1019" s="756"/>
      <c r="G1019" s="755"/>
      <c r="H1019" s="755"/>
      <c r="I1019" s="757"/>
      <c r="J1019" s="755"/>
      <c r="K1019" s="756"/>
      <c r="L1019" s="758"/>
      <c r="M1019" s="758"/>
      <c r="N1019" s="758"/>
      <c r="O1019" s="758"/>
      <c r="P1019" s="758"/>
      <c r="Q1019" s="758"/>
      <c r="T1019" s="758"/>
      <c r="U1019" s="758"/>
      <c r="V1019" s="760"/>
      <c r="W1019" s="758"/>
      <c r="X1019" s="758"/>
    </row>
    <row r="1020" spans="1:24">
      <c r="A1020" s="755"/>
      <c r="B1020" s="755"/>
      <c r="C1020" s="756"/>
      <c r="D1020" s="755"/>
      <c r="E1020" s="755"/>
      <c r="F1020" s="756"/>
      <c r="G1020" s="755"/>
      <c r="H1020" s="755"/>
      <c r="I1020" s="757"/>
      <c r="J1020" s="755"/>
      <c r="K1020" s="756"/>
      <c r="L1020" s="758"/>
      <c r="M1020" s="758"/>
      <c r="N1020" s="758"/>
      <c r="O1020" s="758"/>
      <c r="P1020" s="758"/>
      <c r="Q1020" s="758"/>
      <c r="T1020" s="758"/>
      <c r="U1020" s="758"/>
      <c r="V1020" s="760"/>
      <c r="W1020" s="758"/>
      <c r="X1020" s="758"/>
    </row>
    <row r="1021" spans="1:24">
      <c r="A1021" s="755"/>
      <c r="B1021" s="755"/>
      <c r="C1021" s="756"/>
      <c r="D1021" s="755"/>
      <c r="E1021" s="755"/>
      <c r="F1021" s="756"/>
      <c r="G1021" s="755"/>
      <c r="H1021" s="755"/>
      <c r="I1021" s="757"/>
      <c r="J1021" s="755"/>
      <c r="K1021" s="756"/>
      <c r="L1021" s="758"/>
      <c r="M1021" s="758"/>
      <c r="N1021" s="758"/>
      <c r="O1021" s="758"/>
      <c r="P1021" s="758"/>
      <c r="Q1021" s="758"/>
      <c r="T1021" s="758"/>
      <c r="U1021" s="758"/>
      <c r="V1021" s="760"/>
      <c r="W1021" s="758"/>
      <c r="X1021" s="758"/>
    </row>
    <row r="1022" spans="1:24">
      <c r="A1022" s="755"/>
      <c r="B1022" s="755"/>
      <c r="C1022" s="756"/>
      <c r="D1022" s="755"/>
      <c r="E1022" s="755"/>
      <c r="F1022" s="756"/>
      <c r="G1022" s="755"/>
      <c r="H1022" s="755"/>
      <c r="I1022" s="757"/>
      <c r="J1022" s="755"/>
      <c r="K1022" s="756"/>
      <c r="L1022" s="758"/>
      <c r="M1022" s="758"/>
      <c r="N1022" s="758"/>
      <c r="O1022" s="758"/>
      <c r="P1022" s="758"/>
      <c r="Q1022" s="758"/>
      <c r="T1022" s="758"/>
      <c r="U1022" s="758"/>
      <c r="V1022" s="760"/>
      <c r="W1022" s="758"/>
      <c r="X1022" s="758"/>
    </row>
    <row r="1023" spans="1:24">
      <c r="A1023" s="755"/>
      <c r="B1023" s="755"/>
      <c r="C1023" s="756"/>
      <c r="D1023" s="755"/>
      <c r="E1023" s="755"/>
      <c r="F1023" s="756"/>
      <c r="G1023" s="755"/>
      <c r="H1023" s="755"/>
      <c r="I1023" s="757"/>
      <c r="J1023" s="755"/>
      <c r="K1023" s="756"/>
      <c r="L1023" s="758"/>
      <c r="M1023" s="758"/>
      <c r="N1023" s="758"/>
      <c r="O1023" s="758"/>
      <c r="P1023" s="758"/>
      <c r="Q1023" s="758"/>
      <c r="T1023" s="758"/>
      <c r="U1023" s="758"/>
      <c r="V1023" s="760"/>
      <c r="W1023" s="758"/>
      <c r="X1023" s="758"/>
    </row>
    <row r="1024" spans="1:24">
      <c r="A1024" s="755"/>
      <c r="B1024" s="755"/>
      <c r="C1024" s="756"/>
      <c r="D1024" s="755"/>
      <c r="E1024" s="755"/>
      <c r="F1024" s="756"/>
      <c r="G1024" s="755"/>
      <c r="H1024" s="755"/>
      <c r="I1024" s="757"/>
      <c r="J1024" s="755"/>
      <c r="K1024" s="756"/>
      <c r="L1024" s="758"/>
      <c r="M1024" s="758"/>
      <c r="N1024" s="758"/>
      <c r="O1024" s="758"/>
      <c r="P1024" s="758"/>
      <c r="Q1024" s="758"/>
      <c r="T1024" s="758"/>
      <c r="U1024" s="758"/>
      <c r="V1024" s="760"/>
      <c r="W1024" s="758"/>
      <c r="X1024" s="758"/>
    </row>
    <row r="1025" spans="1:24">
      <c r="A1025" s="755"/>
      <c r="B1025" s="755"/>
      <c r="C1025" s="756"/>
      <c r="D1025" s="755"/>
      <c r="E1025" s="755"/>
      <c r="F1025" s="756"/>
      <c r="G1025" s="755"/>
      <c r="H1025" s="755"/>
      <c r="I1025" s="757"/>
      <c r="J1025" s="755"/>
      <c r="K1025" s="756"/>
      <c r="L1025" s="758"/>
      <c r="M1025" s="758"/>
      <c r="N1025" s="758"/>
      <c r="O1025" s="758"/>
      <c r="P1025" s="758"/>
      <c r="Q1025" s="758"/>
      <c r="T1025" s="758"/>
      <c r="U1025" s="758"/>
      <c r="V1025" s="760"/>
      <c r="W1025" s="758"/>
      <c r="X1025" s="758"/>
    </row>
    <row r="1026" spans="1:24">
      <c r="A1026" s="755"/>
      <c r="B1026" s="755"/>
      <c r="C1026" s="756"/>
      <c r="D1026" s="755"/>
      <c r="E1026" s="755"/>
      <c r="F1026" s="756"/>
      <c r="G1026" s="755"/>
      <c r="H1026" s="755"/>
      <c r="I1026" s="757"/>
      <c r="J1026" s="755"/>
      <c r="K1026" s="756"/>
      <c r="L1026" s="758"/>
      <c r="M1026" s="758"/>
      <c r="N1026" s="758"/>
      <c r="O1026" s="758"/>
      <c r="P1026" s="758"/>
      <c r="Q1026" s="758"/>
      <c r="T1026" s="758"/>
      <c r="U1026" s="758"/>
      <c r="V1026" s="760"/>
      <c r="W1026" s="758"/>
      <c r="X1026" s="758"/>
    </row>
    <row r="1027" spans="1:24">
      <c r="A1027" s="755"/>
      <c r="B1027" s="755"/>
      <c r="C1027" s="756"/>
      <c r="D1027" s="755"/>
      <c r="E1027" s="755"/>
      <c r="F1027" s="756"/>
      <c r="G1027" s="755"/>
      <c r="H1027" s="755"/>
      <c r="I1027" s="757"/>
      <c r="J1027" s="755"/>
      <c r="K1027" s="756"/>
      <c r="L1027" s="758"/>
      <c r="M1027" s="758"/>
      <c r="N1027" s="758"/>
      <c r="O1027" s="758"/>
      <c r="P1027" s="758"/>
      <c r="Q1027" s="758"/>
      <c r="T1027" s="758"/>
      <c r="U1027" s="758"/>
      <c r="V1027" s="760"/>
      <c r="W1027" s="758"/>
      <c r="X1027" s="758"/>
    </row>
    <row r="1028" spans="1:24">
      <c r="A1028" s="755"/>
      <c r="B1028" s="755"/>
      <c r="C1028" s="756"/>
      <c r="D1028" s="755"/>
      <c r="E1028" s="755"/>
      <c r="F1028" s="756"/>
      <c r="G1028" s="755"/>
      <c r="H1028" s="755"/>
      <c r="I1028" s="757"/>
      <c r="J1028" s="755"/>
      <c r="K1028" s="756"/>
      <c r="L1028" s="758"/>
      <c r="M1028" s="758"/>
      <c r="N1028" s="758"/>
      <c r="O1028" s="758"/>
      <c r="P1028" s="758"/>
      <c r="Q1028" s="758"/>
      <c r="T1028" s="758"/>
      <c r="U1028" s="758"/>
      <c r="V1028" s="760"/>
      <c r="W1028" s="758"/>
      <c r="X1028" s="758"/>
    </row>
    <row r="1029" spans="1:24">
      <c r="A1029" s="755"/>
      <c r="B1029" s="755"/>
      <c r="C1029" s="756"/>
      <c r="D1029" s="755"/>
      <c r="E1029" s="755"/>
      <c r="F1029" s="756"/>
      <c r="G1029" s="755"/>
      <c r="H1029" s="755"/>
      <c r="I1029" s="757"/>
      <c r="J1029" s="755"/>
      <c r="K1029" s="756"/>
      <c r="L1029" s="758"/>
      <c r="M1029" s="758"/>
      <c r="N1029" s="758"/>
      <c r="O1029" s="758"/>
      <c r="P1029" s="758"/>
      <c r="Q1029" s="758"/>
      <c r="T1029" s="758"/>
      <c r="U1029" s="758"/>
      <c r="V1029" s="760"/>
      <c r="W1029" s="758"/>
      <c r="X1029" s="758"/>
    </row>
    <row r="1030" spans="1:24">
      <c r="A1030" s="755"/>
      <c r="B1030" s="755"/>
      <c r="C1030" s="756"/>
      <c r="D1030" s="755"/>
      <c r="E1030" s="755"/>
      <c r="F1030" s="756"/>
      <c r="G1030" s="755"/>
      <c r="H1030" s="755"/>
      <c r="I1030" s="757"/>
      <c r="J1030" s="755"/>
      <c r="K1030" s="756"/>
      <c r="L1030" s="758"/>
      <c r="M1030" s="758"/>
      <c r="N1030" s="758"/>
      <c r="O1030" s="758"/>
      <c r="P1030" s="758"/>
      <c r="Q1030" s="758"/>
      <c r="T1030" s="758"/>
      <c r="U1030" s="758"/>
      <c r="V1030" s="760"/>
      <c r="W1030" s="758"/>
      <c r="X1030" s="758"/>
    </row>
    <row r="1031" spans="1:24">
      <c r="A1031" s="755"/>
      <c r="B1031" s="755"/>
      <c r="C1031" s="756"/>
      <c r="D1031" s="755"/>
      <c r="E1031" s="755"/>
      <c r="F1031" s="756"/>
      <c r="G1031" s="755"/>
      <c r="H1031" s="755"/>
      <c r="I1031" s="757"/>
      <c r="J1031" s="755"/>
      <c r="K1031" s="756"/>
      <c r="L1031" s="758"/>
      <c r="M1031" s="758"/>
      <c r="N1031" s="758"/>
      <c r="O1031" s="758"/>
      <c r="P1031" s="758"/>
      <c r="Q1031" s="758"/>
      <c r="T1031" s="758"/>
      <c r="U1031" s="758"/>
      <c r="V1031" s="760"/>
      <c r="W1031" s="758"/>
      <c r="X1031" s="758"/>
    </row>
    <row r="1032" spans="1:24">
      <c r="A1032" s="755"/>
      <c r="B1032" s="755"/>
      <c r="C1032" s="756"/>
      <c r="D1032" s="755"/>
      <c r="E1032" s="755"/>
      <c r="F1032" s="756"/>
      <c r="G1032" s="755"/>
      <c r="H1032" s="755"/>
      <c r="I1032" s="757"/>
      <c r="J1032" s="755"/>
      <c r="K1032" s="756"/>
      <c r="L1032" s="758"/>
      <c r="M1032" s="758"/>
      <c r="N1032" s="758"/>
      <c r="O1032" s="758"/>
      <c r="P1032" s="758"/>
      <c r="Q1032" s="758"/>
      <c r="T1032" s="758"/>
      <c r="U1032" s="758"/>
      <c r="V1032" s="760"/>
      <c r="W1032" s="758"/>
      <c r="X1032" s="758"/>
    </row>
    <row r="1033" spans="1:24">
      <c r="A1033" s="755"/>
      <c r="B1033" s="755"/>
      <c r="C1033" s="756"/>
      <c r="D1033" s="755"/>
      <c r="E1033" s="755"/>
      <c r="F1033" s="756"/>
      <c r="G1033" s="755"/>
      <c r="H1033" s="755"/>
      <c r="I1033" s="757"/>
      <c r="J1033" s="755"/>
      <c r="K1033" s="756"/>
      <c r="L1033" s="758"/>
      <c r="M1033" s="758"/>
      <c r="N1033" s="758"/>
      <c r="O1033" s="758"/>
      <c r="P1033" s="758"/>
      <c r="Q1033" s="758"/>
      <c r="T1033" s="758"/>
      <c r="U1033" s="758"/>
      <c r="V1033" s="760"/>
      <c r="W1033" s="758"/>
      <c r="X1033" s="758"/>
    </row>
    <row r="1034" spans="1:24">
      <c r="A1034" s="755"/>
      <c r="B1034" s="755"/>
      <c r="C1034" s="756"/>
      <c r="D1034" s="755"/>
      <c r="E1034" s="755"/>
      <c r="F1034" s="756"/>
      <c r="G1034" s="755"/>
      <c r="H1034" s="755"/>
      <c r="I1034" s="757"/>
      <c r="J1034" s="755"/>
      <c r="K1034" s="756"/>
      <c r="L1034" s="758"/>
      <c r="M1034" s="758"/>
      <c r="N1034" s="758"/>
      <c r="O1034" s="758"/>
      <c r="P1034" s="758"/>
      <c r="Q1034" s="758"/>
      <c r="T1034" s="758"/>
      <c r="U1034" s="758"/>
      <c r="V1034" s="760"/>
      <c r="W1034" s="758"/>
      <c r="X1034" s="758"/>
    </row>
    <row r="1035" spans="1:24">
      <c r="A1035" s="755"/>
      <c r="B1035" s="755"/>
      <c r="C1035" s="756"/>
      <c r="D1035" s="755"/>
      <c r="E1035" s="755"/>
      <c r="F1035" s="756"/>
      <c r="G1035" s="755"/>
      <c r="H1035" s="755"/>
      <c r="I1035" s="757"/>
      <c r="J1035" s="755"/>
      <c r="K1035" s="756"/>
      <c r="L1035" s="758"/>
      <c r="M1035" s="758"/>
      <c r="N1035" s="758"/>
      <c r="O1035" s="758"/>
      <c r="P1035" s="758"/>
      <c r="Q1035" s="758"/>
      <c r="T1035" s="758"/>
      <c r="U1035" s="758"/>
      <c r="V1035" s="760"/>
      <c r="W1035" s="758"/>
      <c r="X1035" s="758"/>
    </row>
    <row r="1036" spans="1:24">
      <c r="A1036" s="755"/>
      <c r="B1036" s="755"/>
      <c r="C1036" s="756"/>
      <c r="D1036" s="755"/>
      <c r="E1036" s="755"/>
      <c r="F1036" s="756"/>
      <c r="G1036" s="755"/>
      <c r="H1036" s="755"/>
      <c r="I1036" s="757"/>
      <c r="J1036" s="755"/>
      <c r="K1036" s="756"/>
      <c r="L1036" s="758"/>
      <c r="M1036" s="758"/>
      <c r="N1036" s="758"/>
      <c r="O1036" s="758"/>
      <c r="P1036" s="758"/>
      <c r="Q1036" s="758"/>
      <c r="T1036" s="758"/>
      <c r="U1036" s="758"/>
      <c r="V1036" s="760"/>
      <c r="W1036" s="758"/>
      <c r="X1036" s="758"/>
    </row>
    <row r="1037" spans="1:24">
      <c r="A1037" s="755"/>
      <c r="B1037" s="755"/>
      <c r="C1037" s="756"/>
      <c r="D1037" s="755"/>
      <c r="E1037" s="755"/>
      <c r="F1037" s="756"/>
      <c r="G1037" s="755"/>
      <c r="H1037" s="755"/>
      <c r="I1037" s="757"/>
      <c r="J1037" s="755"/>
      <c r="K1037" s="756"/>
      <c r="L1037" s="758"/>
      <c r="M1037" s="758"/>
      <c r="N1037" s="758"/>
      <c r="O1037" s="758"/>
      <c r="P1037" s="758"/>
      <c r="Q1037" s="758"/>
      <c r="T1037" s="758"/>
      <c r="U1037" s="758"/>
      <c r="V1037" s="760"/>
      <c r="W1037" s="758"/>
      <c r="X1037" s="758"/>
    </row>
    <row r="1038" spans="1:24">
      <c r="A1038" s="755"/>
      <c r="B1038" s="755"/>
      <c r="C1038" s="756"/>
      <c r="D1038" s="755"/>
      <c r="E1038" s="755"/>
      <c r="F1038" s="756"/>
      <c r="G1038" s="755"/>
      <c r="H1038" s="755"/>
      <c r="I1038" s="757"/>
      <c r="J1038" s="755"/>
      <c r="K1038" s="756"/>
      <c r="L1038" s="758"/>
      <c r="M1038" s="758"/>
      <c r="N1038" s="758"/>
      <c r="O1038" s="758"/>
      <c r="P1038" s="758"/>
      <c r="Q1038" s="758"/>
      <c r="T1038" s="758"/>
      <c r="U1038" s="758"/>
      <c r="V1038" s="760"/>
      <c r="W1038" s="758"/>
      <c r="X1038" s="758"/>
    </row>
    <row r="1039" spans="1:24">
      <c r="A1039" s="755"/>
      <c r="B1039" s="755"/>
      <c r="C1039" s="756"/>
      <c r="D1039" s="755"/>
      <c r="E1039" s="755"/>
      <c r="F1039" s="756"/>
      <c r="G1039" s="755"/>
      <c r="H1039" s="755"/>
      <c r="I1039" s="757"/>
      <c r="J1039" s="755"/>
      <c r="K1039" s="756"/>
      <c r="L1039" s="758"/>
      <c r="M1039" s="758"/>
      <c r="N1039" s="758"/>
      <c r="O1039" s="758"/>
      <c r="P1039" s="758"/>
      <c r="Q1039" s="758"/>
      <c r="T1039" s="758"/>
      <c r="U1039" s="758"/>
      <c r="V1039" s="760"/>
      <c r="W1039" s="758"/>
      <c r="X1039" s="758"/>
    </row>
    <row r="1040" spans="1:24">
      <c r="A1040" s="755"/>
      <c r="B1040" s="755"/>
      <c r="C1040" s="756"/>
      <c r="D1040" s="755"/>
      <c r="E1040" s="755"/>
      <c r="F1040" s="756"/>
      <c r="G1040" s="755"/>
      <c r="H1040" s="755"/>
      <c r="I1040" s="757"/>
      <c r="J1040" s="755"/>
      <c r="K1040" s="756"/>
      <c r="L1040" s="758"/>
      <c r="M1040" s="758"/>
      <c r="N1040" s="758"/>
      <c r="O1040" s="758"/>
      <c r="P1040" s="758"/>
      <c r="Q1040" s="758"/>
      <c r="T1040" s="758"/>
      <c r="U1040" s="758"/>
      <c r="V1040" s="760"/>
      <c r="W1040" s="758"/>
      <c r="X1040" s="758"/>
    </row>
    <row r="1041" spans="1:24">
      <c r="A1041" s="755"/>
      <c r="B1041" s="755"/>
      <c r="C1041" s="756"/>
      <c r="D1041" s="755"/>
      <c r="E1041" s="755"/>
      <c r="F1041" s="756"/>
      <c r="G1041" s="755"/>
      <c r="H1041" s="755"/>
      <c r="I1041" s="757"/>
      <c r="J1041" s="755"/>
      <c r="K1041" s="756"/>
      <c r="L1041" s="758"/>
      <c r="M1041" s="758"/>
      <c r="N1041" s="758"/>
      <c r="O1041" s="758"/>
      <c r="P1041" s="758"/>
      <c r="Q1041" s="758"/>
      <c r="T1041" s="758"/>
      <c r="U1041" s="758"/>
      <c r="V1041" s="760"/>
      <c r="W1041" s="758"/>
      <c r="X1041" s="758"/>
    </row>
    <row r="1042" spans="1:24">
      <c r="A1042" s="755"/>
      <c r="B1042" s="755"/>
      <c r="C1042" s="756"/>
      <c r="D1042" s="755"/>
      <c r="E1042" s="755"/>
      <c r="F1042" s="756"/>
      <c r="G1042" s="755"/>
      <c r="H1042" s="755"/>
      <c r="I1042" s="757"/>
      <c r="J1042" s="755"/>
      <c r="K1042" s="756"/>
      <c r="L1042" s="758"/>
      <c r="M1042" s="758"/>
      <c r="N1042" s="758"/>
      <c r="O1042" s="758"/>
      <c r="P1042" s="758"/>
      <c r="Q1042" s="758"/>
      <c r="T1042" s="758"/>
      <c r="U1042" s="758"/>
      <c r="V1042" s="760"/>
      <c r="W1042" s="758"/>
      <c r="X1042" s="758"/>
    </row>
    <row r="1043" spans="1:24">
      <c r="A1043" s="755"/>
      <c r="B1043" s="755"/>
      <c r="C1043" s="756"/>
      <c r="D1043" s="755"/>
      <c r="E1043" s="755"/>
      <c r="F1043" s="756"/>
      <c r="G1043" s="755"/>
      <c r="H1043" s="755"/>
      <c r="I1043" s="757"/>
      <c r="J1043" s="755"/>
      <c r="K1043" s="756"/>
      <c r="L1043" s="758"/>
      <c r="M1043" s="758"/>
      <c r="N1043" s="758"/>
      <c r="O1043" s="758"/>
      <c r="P1043" s="758"/>
      <c r="Q1043" s="758"/>
      <c r="T1043" s="758"/>
      <c r="U1043" s="758"/>
      <c r="V1043" s="760"/>
      <c r="W1043" s="758"/>
      <c r="X1043" s="758"/>
    </row>
    <row r="1044" spans="1:24">
      <c r="A1044" s="755"/>
      <c r="B1044" s="755"/>
      <c r="C1044" s="756"/>
      <c r="D1044" s="755"/>
      <c r="E1044" s="755"/>
      <c r="F1044" s="756"/>
      <c r="G1044" s="755"/>
      <c r="H1044" s="755"/>
      <c r="I1044" s="757"/>
      <c r="J1044" s="755"/>
      <c r="K1044" s="756"/>
      <c r="L1044" s="758"/>
      <c r="M1044" s="758"/>
      <c r="N1044" s="758"/>
      <c r="O1044" s="758"/>
      <c r="P1044" s="758"/>
      <c r="Q1044" s="758"/>
      <c r="T1044" s="758"/>
      <c r="U1044" s="758"/>
      <c r="V1044" s="760"/>
      <c r="W1044" s="758"/>
      <c r="X1044" s="758"/>
    </row>
    <row r="1045" spans="1:24">
      <c r="A1045" s="755"/>
      <c r="B1045" s="755"/>
      <c r="C1045" s="756"/>
      <c r="D1045" s="755"/>
      <c r="E1045" s="755"/>
      <c r="F1045" s="756"/>
      <c r="G1045" s="755"/>
      <c r="H1045" s="755"/>
      <c r="I1045" s="757"/>
      <c r="J1045" s="755"/>
      <c r="K1045" s="756"/>
      <c r="L1045" s="758"/>
      <c r="M1045" s="758"/>
      <c r="N1045" s="758"/>
      <c r="O1045" s="758"/>
      <c r="P1045" s="758"/>
      <c r="Q1045" s="758"/>
      <c r="T1045" s="758"/>
      <c r="U1045" s="758"/>
      <c r="V1045" s="760"/>
      <c r="W1045" s="758"/>
      <c r="X1045" s="758"/>
    </row>
    <row r="1046" spans="1:24">
      <c r="A1046" s="755"/>
      <c r="B1046" s="755"/>
      <c r="C1046" s="756"/>
      <c r="D1046" s="755"/>
      <c r="E1046" s="755"/>
      <c r="F1046" s="756"/>
      <c r="G1046" s="755"/>
      <c r="H1046" s="755"/>
      <c r="I1046" s="757"/>
      <c r="J1046" s="755"/>
      <c r="K1046" s="756"/>
      <c r="L1046" s="758"/>
      <c r="M1046" s="758"/>
      <c r="N1046" s="758"/>
      <c r="O1046" s="758"/>
      <c r="P1046" s="758"/>
      <c r="Q1046" s="758"/>
      <c r="T1046" s="758"/>
      <c r="U1046" s="758"/>
      <c r="V1046" s="760"/>
      <c r="W1046" s="758"/>
      <c r="X1046" s="758"/>
    </row>
    <row r="1047" spans="1:24">
      <c r="A1047" s="755"/>
      <c r="B1047" s="755"/>
      <c r="C1047" s="756"/>
      <c r="D1047" s="755"/>
      <c r="E1047" s="755"/>
      <c r="F1047" s="756"/>
      <c r="G1047" s="755"/>
      <c r="H1047" s="755"/>
      <c r="I1047" s="757"/>
      <c r="J1047" s="755"/>
      <c r="K1047" s="756"/>
      <c r="L1047" s="758"/>
      <c r="M1047" s="758"/>
      <c r="N1047" s="758"/>
      <c r="O1047" s="758"/>
      <c r="P1047" s="758"/>
      <c r="Q1047" s="758"/>
      <c r="T1047" s="758"/>
      <c r="U1047" s="758"/>
      <c r="V1047" s="760"/>
      <c r="W1047" s="758"/>
      <c r="X1047" s="758"/>
    </row>
    <row r="1048" spans="1:24">
      <c r="A1048" s="755"/>
      <c r="B1048" s="755"/>
      <c r="C1048" s="756"/>
      <c r="D1048" s="755"/>
      <c r="E1048" s="755"/>
      <c r="F1048" s="756"/>
      <c r="G1048" s="755"/>
      <c r="H1048" s="755"/>
      <c r="I1048" s="757"/>
      <c r="J1048" s="755"/>
      <c r="K1048" s="756"/>
      <c r="L1048" s="758"/>
      <c r="M1048" s="758"/>
      <c r="N1048" s="758"/>
      <c r="O1048" s="758"/>
      <c r="P1048" s="758"/>
      <c r="Q1048" s="758"/>
      <c r="T1048" s="758"/>
      <c r="U1048" s="758"/>
      <c r="V1048" s="760"/>
      <c r="W1048" s="758"/>
      <c r="X1048" s="758"/>
    </row>
    <row r="1049" spans="1:24">
      <c r="A1049" s="755"/>
      <c r="B1049" s="755"/>
      <c r="C1049" s="756"/>
      <c r="D1049" s="755"/>
      <c r="E1049" s="755"/>
      <c r="F1049" s="756"/>
      <c r="G1049" s="755"/>
      <c r="H1049" s="755"/>
      <c r="I1049" s="757"/>
      <c r="J1049" s="755"/>
      <c r="K1049" s="756"/>
      <c r="L1049" s="758"/>
      <c r="M1049" s="758"/>
      <c r="N1049" s="758"/>
      <c r="O1049" s="758"/>
      <c r="P1049" s="758"/>
      <c r="Q1049" s="758"/>
      <c r="T1049" s="758"/>
      <c r="U1049" s="758"/>
      <c r="V1049" s="760"/>
      <c r="W1049" s="758"/>
      <c r="X1049" s="758"/>
    </row>
    <row r="1050" spans="1:24">
      <c r="A1050" s="755"/>
      <c r="B1050" s="755"/>
      <c r="C1050" s="756"/>
      <c r="D1050" s="755"/>
      <c r="E1050" s="755"/>
      <c r="F1050" s="756"/>
      <c r="G1050" s="755"/>
      <c r="H1050" s="755"/>
      <c r="I1050" s="757"/>
      <c r="J1050" s="755"/>
      <c r="K1050" s="756"/>
      <c r="L1050" s="758"/>
      <c r="M1050" s="758"/>
      <c r="N1050" s="758"/>
      <c r="O1050" s="758"/>
      <c r="P1050" s="758"/>
      <c r="Q1050" s="758"/>
      <c r="T1050" s="758"/>
      <c r="U1050" s="758"/>
      <c r="V1050" s="760"/>
      <c r="W1050" s="758"/>
      <c r="X1050" s="758"/>
    </row>
    <row r="1051" spans="1:24">
      <c r="A1051" s="755"/>
      <c r="B1051" s="755"/>
      <c r="C1051" s="756"/>
      <c r="D1051" s="755"/>
      <c r="E1051" s="755"/>
      <c r="F1051" s="756"/>
      <c r="G1051" s="755"/>
      <c r="H1051" s="755"/>
      <c r="I1051" s="757"/>
      <c r="J1051" s="755"/>
      <c r="K1051" s="756"/>
      <c r="L1051" s="758"/>
      <c r="M1051" s="758"/>
      <c r="N1051" s="758"/>
      <c r="O1051" s="758"/>
      <c r="P1051" s="758"/>
      <c r="Q1051" s="758"/>
      <c r="T1051" s="758"/>
      <c r="U1051" s="758"/>
      <c r="V1051" s="760"/>
      <c r="W1051" s="758"/>
      <c r="X1051" s="758"/>
    </row>
    <row r="1052" spans="1:24">
      <c r="A1052" s="755"/>
      <c r="B1052" s="755"/>
      <c r="C1052" s="756"/>
      <c r="D1052" s="755"/>
      <c r="E1052" s="755"/>
      <c r="F1052" s="756"/>
      <c r="G1052" s="755"/>
      <c r="H1052" s="755"/>
      <c r="I1052" s="757"/>
      <c r="J1052" s="755"/>
      <c r="K1052" s="756"/>
      <c r="L1052" s="758"/>
      <c r="M1052" s="758"/>
      <c r="N1052" s="758"/>
      <c r="O1052" s="758"/>
      <c r="P1052" s="758"/>
      <c r="Q1052" s="758"/>
      <c r="T1052" s="758"/>
      <c r="U1052" s="758"/>
      <c r="V1052" s="760"/>
      <c r="W1052" s="758"/>
      <c r="X1052" s="758"/>
    </row>
    <row r="1053" spans="1:24">
      <c r="A1053" s="755"/>
      <c r="B1053" s="755"/>
      <c r="C1053" s="756"/>
      <c r="D1053" s="755"/>
      <c r="E1053" s="755"/>
      <c r="F1053" s="756"/>
      <c r="G1053" s="755"/>
      <c r="H1053" s="755"/>
      <c r="I1053" s="757"/>
      <c r="J1053" s="755"/>
      <c r="K1053" s="756"/>
      <c r="L1053" s="758"/>
      <c r="M1053" s="758"/>
      <c r="N1053" s="758"/>
      <c r="O1053" s="758"/>
      <c r="P1053" s="758"/>
      <c r="Q1053" s="758"/>
      <c r="T1053" s="758"/>
      <c r="U1053" s="758"/>
      <c r="V1053" s="760"/>
      <c r="W1053" s="758"/>
      <c r="X1053" s="758"/>
    </row>
    <row r="1054" spans="1:24">
      <c r="A1054" s="755"/>
      <c r="B1054" s="755"/>
      <c r="C1054" s="756"/>
      <c r="D1054" s="755"/>
      <c r="E1054" s="755"/>
      <c r="F1054" s="756"/>
      <c r="G1054" s="755"/>
      <c r="H1054" s="755"/>
      <c r="I1054" s="757"/>
      <c r="J1054" s="755"/>
      <c r="K1054" s="756"/>
      <c r="L1054" s="758"/>
      <c r="M1054" s="758"/>
      <c r="N1054" s="758"/>
      <c r="O1054" s="758"/>
      <c r="P1054" s="758"/>
      <c r="Q1054" s="758"/>
      <c r="T1054" s="758"/>
      <c r="U1054" s="758"/>
      <c r="V1054" s="760"/>
      <c r="W1054" s="758"/>
      <c r="X1054" s="758"/>
    </row>
    <row r="1055" spans="1:24">
      <c r="A1055" s="755"/>
      <c r="B1055" s="755"/>
      <c r="C1055" s="756"/>
      <c r="D1055" s="755"/>
      <c r="E1055" s="755"/>
      <c r="F1055" s="756"/>
      <c r="G1055" s="755"/>
      <c r="H1055" s="755"/>
      <c r="I1055" s="757"/>
      <c r="J1055" s="755"/>
      <c r="K1055" s="756"/>
      <c r="L1055" s="758"/>
      <c r="M1055" s="758"/>
      <c r="N1055" s="758"/>
      <c r="O1055" s="758"/>
      <c r="P1055" s="758"/>
      <c r="Q1055" s="758"/>
      <c r="T1055" s="758"/>
      <c r="U1055" s="758"/>
      <c r="V1055" s="760"/>
      <c r="W1055" s="758"/>
      <c r="X1055" s="758"/>
    </row>
    <row r="1056" spans="1:24">
      <c r="A1056" s="755"/>
      <c r="B1056" s="755"/>
      <c r="C1056" s="756"/>
      <c r="D1056" s="755"/>
      <c r="E1056" s="755"/>
      <c r="F1056" s="756"/>
      <c r="G1056" s="755"/>
      <c r="H1056" s="755"/>
      <c r="I1056" s="757"/>
      <c r="J1056" s="755"/>
      <c r="K1056" s="756"/>
      <c r="L1056" s="758"/>
      <c r="M1056" s="758"/>
      <c r="N1056" s="758"/>
      <c r="O1056" s="758"/>
      <c r="P1056" s="758"/>
      <c r="Q1056" s="758"/>
      <c r="T1056" s="758"/>
      <c r="U1056" s="758"/>
      <c r="V1056" s="760"/>
      <c r="W1056" s="758"/>
      <c r="X1056" s="758"/>
    </row>
    <row r="1057" spans="1:24">
      <c r="A1057" s="755"/>
      <c r="B1057" s="755"/>
      <c r="C1057" s="756"/>
      <c r="D1057" s="755"/>
      <c r="E1057" s="755"/>
      <c r="F1057" s="756"/>
      <c r="G1057" s="755"/>
      <c r="H1057" s="755"/>
      <c r="I1057" s="757"/>
      <c r="J1057" s="755"/>
      <c r="K1057" s="756"/>
      <c r="L1057" s="758"/>
      <c r="M1057" s="758"/>
      <c r="N1057" s="758"/>
      <c r="O1057" s="758"/>
      <c r="P1057" s="758"/>
      <c r="Q1057" s="758"/>
      <c r="T1057" s="758"/>
      <c r="U1057" s="758"/>
      <c r="V1057" s="760"/>
      <c r="W1057" s="758"/>
      <c r="X1057" s="758"/>
    </row>
    <row r="1058" spans="1:24">
      <c r="A1058" s="755"/>
      <c r="B1058" s="755"/>
      <c r="C1058" s="756"/>
      <c r="D1058" s="755"/>
      <c r="E1058" s="755"/>
      <c r="F1058" s="756"/>
      <c r="G1058" s="755"/>
      <c r="H1058" s="755"/>
      <c r="I1058" s="757"/>
      <c r="J1058" s="755"/>
      <c r="K1058" s="756"/>
      <c r="L1058" s="758"/>
      <c r="M1058" s="758"/>
      <c r="N1058" s="758"/>
      <c r="O1058" s="758"/>
      <c r="P1058" s="758"/>
      <c r="Q1058" s="758"/>
      <c r="T1058" s="758"/>
      <c r="U1058" s="758"/>
      <c r="V1058" s="760"/>
      <c r="W1058" s="758"/>
      <c r="X1058" s="758"/>
    </row>
    <row r="1059" spans="1:24">
      <c r="A1059" s="755"/>
      <c r="B1059" s="755"/>
      <c r="C1059" s="756"/>
      <c r="D1059" s="755"/>
      <c r="E1059" s="755"/>
      <c r="F1059" s="756"/>
      <c r="G1059" s="755"/>
      <c r="H1059" s="755"/>
      <c r="I1059" s="757"/>
      <c r="J1059" s="755"/>
      <c r="K1059" s="756"/>
      <c r="L1059" s="758"/>
      <c r="M1059" s="758"/>
      <c r="N1059" s="758"/>
      <c r="O1059" s="758"/>
      <c r="P1059" s="758"/>
      <c r="Q1059" s="758"/>
      <c r="T1059" s="758"/>
      <c r="U1059" s="758"/>
      <c r="V1059" s="760"/>
      <c r="W1059" s="758"/>
      <c r="X1059" s="758"/>
    </row>
    <row r="1060" spans="1:24">
      <c r="A1060" s="755"/>
      <c r="B1060" s="755"/>
      <c r="C1060" s="756"/>
      <c r="D1060" s="755"/>
      <c r="E1060" s="755"/>
      <c r="F1060" s="756"/>
      <c r="G1060" s="755"/>
      <c r="H1060" s="755"/>
      <c r="I1060" s="757"/>
      <c r="J1060" s="755"/>
      <c r="K1060" s="756"/>
      <c r="L1060" s="758"/>
      <c r="M1060" s="758"/>
      <c r="N1060" s="758"/>
      <c r="O1060" s="758"/>
      <c r="P1060" s="758"/>
      <c r="Q1060" s="758"/>
      <c r="T1060" s="758"/>
      <c r="U1060" s="758"/>
      <c r="V1060" s="760"/>
      <c r="W1060" s="758"/>
      <c r="X1060" s="758"/>
    </row>
    <row r="1061" spans="1:24">
      <c r="A1061" s="755"/>
      <c r="B1061" s="755"/>
      <c r="C1061" s="756"/>
      <c r="D1061" s="755"/>
      <c r="E1061" s="755"/>
      <c r="F1061" s="756"/>
      <c r="G1061" s="755"/>
      <c r="H1061" s="755"/>
      <c r="I1061" s="757"/>
      <c r="J1061" s="755"/>
      <c r="K1061" s="756"/>
      <c r="L1061" s="758"/>
      <c r="M1061" s="758"/>
      <c r="N1061" s="758"/>
      <c r="O1061" s="758"/>
      <c r="P1061" s="758"/>
      <c r="Q1061" s="758"/>
      <c r="T1061" s="758"/>
      <c r="U1061" s="758"/>
      <c r="V1061" s="760"/>
      <c r="W1061" s="758"/>
      <c r="X1061" s="758"/>
    </row>
    <row r="1062" spans="1:24">
      <c r="A1062" s="755"/>
      <c r="B1062" s="755"/>
      <c r="C1062" s="756"/>
      <c r="D1062" s="755"/>
      <c r="E1062" s="755"/>
      <c r="F1062" s="756"/>
      <c r="G1062" s="755"/>
      <c r="H1062" s="755"/>
      <c r="I1062" s="757"/>
      <c r="J1062" s="755"/>
      <c r="K1062" s="756"/>
      <c r="L1062" s="758"/>
      <c r="M1062" s="758"/>
      <c r="N1062" s="758"/>
      <c r="O1062" s="758"/>
      <c r="P1062" s="758"/>
      <c r="Q1062" s="758"/>
      <c r="T1062" s="758"/>
      <c r="U1062" s="758"/>
      <c r="V1062" s="760"/>
      <c r="W1062" s="758"/>
      <c r="X1062" s="758"/>
    </row>
    <row r="1063" spans="1:24">
      <c r="A1063" s="755"/>
      <c r="B1063" s="755"/>
      <c r="C1063" s="756"/>
      <c r="D1063" s="755"/>
      <c r="E1063" s="755"/>
      <c r="F1063" s="756"/>
      <c r="G1063" s="755"/>
      <c r="H1063" s="755"/>
      <c r="I1063" s="757"/>
      <c r="J1063" s="755"/>
      <c r="K1063" s="756"/>
      <c r="L1063" s="758"/>
      <c r="M1063" s="758"/>
      <c r="N1063" s="758"/>
      <c r="O1063" s="758"/>
      <c r="P1063" s="758"/>
      <c r="Q1063" s="758"/>
      <c r="T1063" s="758"/>
      <c r="U1063" s="758"/>
      <c r="V1063" s="760"/>
      <c r="W1063" s="758"/>
      <c r="X1063" s="758"/>
    </row>
    <row r="1064" spans="1:24">
      <c r="A1064" s="755"/>
      <c r="B1064" s="755"/>
      <c r="C1064" s="756"/>
      <c r="D1064" s="755"/>
      <c r="E1064" s="755"/>
      <c r="F1064" s="756"/>
      <c r="G1064" s="755"/>
      <c r="H1064" s="755"/>
      <c r="I1064" s="757"/>
      <c r="J1064" s="755"/>
      <c r="K1064" s="756"/>
      <c r="L1064" s="758"/>
      <c r="M1064" s="758"/>
      <c r="N1064" s="758"/>
      <c r="O1064" s="758"/>
      <c r="P1064" s="758"/>
      <c r="Q1064" s="758"/>
      <c r="T1064" s="758"/>
      <c r="U1064" s="758"/>
      <c r="V1064" s="760"/>
      <c r="W1064" s="758"/>
      <c r="X1064" s="758"/>
    </row>
    <row r="1065" spans="1:24">
      <c r="A1065" s="755"/>
      <c r="B1065" s="755"/>
      <c r="C1065" s="756"/>
      <c r="D1065" s="755"/>
      <c r="E1065" s="755"/>
      <c r="F1065" s="756"/>
      <c r="G1065" s="755"/>
      <c r="H1065" s="755"/>
      <c r="I1065" s="757"/>
      <c r="J1065" s="755"/>
      <c r="K1065" s="756"/>
      <c r="L1065" s="758"/>
      <c r="M1065" s="758"/>
      <c r="N1065" s="758"/>
      <c r="O1065" s="758"/>
      <c r="P1065" s="758"/>
      <c r="Q1065" s="758"/>
      <c r="T1065" s="758"/>
      <c r="U1065" s="758"/>
      <c r="V1065" s="760"/>
      <c r="W1065" s="758"/>
      <c r="X1065" s="758"/>
    </row>
    <row r="1066" spans="1:24">
      <c r="A1066" s="755"/>
      <c r="B1066" s="755"/>
      <c r="C1066" s="756"/>
      <c r="D1066" s="755"/>
      <c r="E1066" s="755"/>
      <c r="F1066" s="756"/>
      <c r="G1066" s="755"/>
      <c r="H1066" s="755"/>
      <c r="I1066" s="757"/>
      <c r="J1066" s="755"/>
      <c r="K1066" s="756"/>
      <c r="L1066" s="758"/>
      <c r="M1066" s="758"/>
      <c r="N1066" s="758"/>
      <c r="O1066" s="758"/>
      <c r="P1066" s="758"/>
      <c r="Q1066" s="758"/>
      <c r="T1066" s="758"/>
      <c r="U1066" s="758"/>
      <c r="V1066" s="760"/>
      <c r="W1066" s="758"/>
      <c r="X1066" s="758"/>
    </row>
    <row r="1067" spans="1:24">
      <c r="A1067" s="755"/>
      <c r="B1067" s="755"/>
      <c r="C1067" s="756"/>
      <c r="D1067" s="755"/>
      <c r="E1067" s="755"/>
      <c r="F1067" s="756"/>
      <c r="G1067" s="755"/>
      <c r="H1067" s="755"/>
      <c r="I1067" s="757"/>
      <c r="J1067" s="755"/>
      <c r="K1067" s="756"/>
      <c r="L1067" s="758"/>
      <c r="M1067" s="758"/>
      <c r="N1067" s="758"/>
      <c r="O1067" s="758"/>
      <c r="P1067" s="758"/>
      <c r="Q1067" s="758"/>
      <c r="T1067" s="758"/>
      <c r="U1067" s="758"/>
      <c r="V1067" s="760"/>
      <c r="W1067" s="758"/>
      <c r="X1067" s="758"/>
    </row>
    <row r="1068" spans="1:24">
      <c r="A1068" s="755"/>
      <c r="B1068" s="755"/>
      <c r="C1068" s="756"/>
      <c r="D1068" s="755"/>
      <c r="E1068" s="755"/>
      <c r="F1068" s="756"/>
      <c r="G1068" s="755"/>
      <c r="H1068" s="755"/>
      <c r="I1068" s="757"/>
      <c r="J1068" s="755"/>
      <c r="K1068" s="756"/>
      <c r="L1068" s="758"/>
      <c r="M1068" s="758"/>
      <c r="N1068" s="758"/>
      <c r="O1068" s="758"/>
      <c r="P1068" s="758"/>
      <c r="Q1068" s="758"/>
      <c r="T1068" s="758"/>
      <c r="U1068" s="758"/>
      <c r="V1068" s="760"/>
      <c r="W1068" s="758"/>
      <c r="X1068" s="758"/>
    </row>
    <row r="1069" spans="1:24">
      <c r="A1069" s="755"/>
      <c r="B1069" s="755"/>
      <c r="C1069" s="756"/>
      <c r="D1069" s="755"/>
      <c r="E1069" s="755"/>
      <c r="F1069" s="756"/>
      <c r="G1069" s="755"/>
      <c r="H1069" s="755"/>
      <c r="I1069" s="757"/>
      <c r="J1069" s="755"/>
      <c r="K1069" s="756"/>
      <c r="L1069" s="758"/>
      <c r="M1069" s="758"/>
      <c r="N1069" s="758"/>
      <c r="O1069" s="758"/>
      <c r="P1069" s="758"/>
      <c r="Q1069" s="758"/>
      <c r="T1069" s="758"/>
      <c r="U1069" s="758"/>
      <c r="V1069" s="760"/>
      <c r="W1069" s="758"/>
      <c r="X1069" s="758"/>
    </row>
    <row r="1070" spans="1:24">
      <c r="A1070" s="755"/>
      <c r="B1070" s="755"/>
      <c r="C1070" s="756"/>
      <c r="D1070" s="755"/>
      <c r="E1070" s="755"/>
      <c r="F1070" s="756"/>
      <c r="G1070" s="755"/>
      <c r="H1070" s="755"/>
      <c r="I1070" s="757"/>
      <c r="J1070" s="755"/>
      <c r="K1070" s="756"/>
      <c r="L1070" s="758"/>
      <c r="M1070" s="758"/>
      <c r="N1070" s="758"/>
      <c r="O1070" s="758"/>
      <c r="P1070" s="758"/>
      <c r="Q1070" s="758"/>
      <c r="T1070" s="758"/>
      <c r="U1070" s="758"/>
      <c r="V1070" s="760"/>
      <c r="W1070" s="758"/>
      <c r="X1070" s="758"/>
    </row>
    <row r="1071" spans="1:24">
      <c r="A1071" s="755"/>
      <c r="B1071" s="755"/>
      <c r="C1071" s="756"/>
      <c r="D1071" s="755"/>
      <c r="E1071" s="755"/>
      <c r="F1071" s="756"/>
      <c r="G1071" s="755"/>
      <c r="H1071" s="755"/>
      <c r="I1071" s="757"/>
      <c r="J1071" s="755"/>
      <c r="K1071" s="756"/>
      <c r="L1071" s="758"/>
      <c r="M1071" s="758"/>
      <c r="N1071" s="758"/>
      <c r="O1071" s="758"/>
      <c r="P1071" s="758"/>
      <c r="Q1071" s="758"/>
      <c r="T1071" s="758"/>
      <c r="U1071" s="758"/>
      <c r="V1071" s="760"/>
      <c r="W1071" s="758"/>
      <c r="X1071" s="758"/>
    </row>
    <row r="1072" spans="1:24">
      <c r="A1072" s="755"/>
      <c r="B1072" s="755"/>
      <c r="C1072" s="756"/>
      <c r="D1072" s="755"/>
      <c r="E1072" s="755"/>
      <c r="F1072" s="756"/>
      <c r="G1072" s="755"/>
      <c r="H1072" s="755"/>
      <c r="I1072" s="757"/>
      <c r="J1072" s="755"/>
      <c r="K1072" s="756"/>
      <c r="L1072" s="758"/>
      <c r="M1072" s="758"/>
      <c r="N1072" s="758"/>
      <c r="O1072" s="758"/>
      <c r="P1072" s="758"/>
      <c r="Q1072" s="758"/>
      <c r="T1072" s="758"/>
      <c r="U1072" s="758"/>
      <c r="V1072" s="760"/>
      <c r="W1072" s="758"/>
      <c r="X1072" s="758"/>
    </row>
    <row r="1073" spans="1:24">
      <c r="A1073" s="755"/>
      <c r="B1073" s="755"/>
      <c r="C1073" s="756"/>
      <c r="D1073" s="755"/>
      <c r="E1073" s="755"/>
      <c r="F1073" s="756"/>
      <c r="G1073" s="755"/>
      <c r="H1073" s="755"/>
      <c r="I1073" s="757"/>
      <c r="J1073" s="755"/>
      <c r="K1073" s="756"/>
      <c r="L1073" s="758"/>
      <c r="M1073" s="758"/>
      <c r="N1073" s="758"/>
      <c r="O1073" s="758"/>
      <c r="P1073" s="758"/>
      <c r="Q1073" s="758"/>
      <c r="T1073" s="758"/>
      <c r="U1073" s="758"/>
      <c r="V1073" s="760"/>
      <c r="W1073" s="758"/>
      <c r="X1073" s="758"/>
    </row>
    <row r="1074" spans="1:24">
      <c r="A1074" s="755"/>
      <c r="B1074" s="755"/>
      <c r="C1074" s="756"/>
      <c r="D1074" s="755"/>
      <c r="E1074" s="755"/>
      <c r="F1074" s="756"/>
      <c r="G1074" s="755"/>
      <c r="H1074" s="755"/>
      <c r="I1074" s="757"/>
      <c r="J1074" s="755"/>
      <c r="K1074" s="756"/>
      <c r="L1074" s="758"/>
      <c r="M1074" s="758"/>
      <c r="N1074" s="758"/>
      <c r="O1074" s="758"/>
      <c r="P1074" s="758"/>
      <c r="Q1074" s="758"/>
      <c r="T1074" s="758"/>
      <c r="U1074" s="758"/>
      <c r="V1074" s="760"/>
      <c r="W1074" s="758"/>
      <c r="X1074" s="758"/>
    </row>
    <row r="1075" spans="1:24">
      <c r="A1075" s="755"/>
      <c r="B1075" s="755"/>
      <c r="C1075" s="756"/>
      <c r="D1075" s="755"/>
      <c r="E1075" s="755"/>
      <c r="F1075" s="756"/>
      <c r="G1075" s="755"/>
      <c r="H1075" s="755"/>
      <c r="I1075" s="757"/>
      <c r="J1075" s="755"/>
      <c r="K1075" s="756"/>
      <c r="L1075" s="758"/>
      <c r="M1075" s="758"/>
      <c r="N1075" s="758"/>
      <c r="O1075" s="758"/>
      <c r="P1075" s="758"/>
      <c r="Q1075" s="758"/>
      <c r="T1075" s="758"/>
      <c r="U1075" s="758"/>
      <c r="V1075" s="760"/>
      <c r="W1075" s="758"/>
      <c r="X1075" s="758"/>
    </row>
    <row r="1076" spans="1:24">
      <c r="A1076" s="755"/>
      <c r="B1076" s="755"/>
      <c r="C1076" s="756"/>
      <c r="D1076" s="755"/>
      <c r="E1076" s="755"/>
      <c r="F1076" s="756"/>
      <c r="G1076" s="755"/>
      <c r="H1076" s="755"/>
      <c r="I1076" s="757"/>
      <c r="J1076" s="755"/>
      <c r="K1076" s="756"/>
      <c r="L1076" s="758"/>
      <c r="M1076" s="758"/>
      <c r="N1076" s="758"/>
      <c r="O1076" s="758"/>
      <c r="P1076" s="758"/>
      <c r="Q1076" s="758"/>
      <c r="T1076" s="758"/>
      <c r="U1076" s="758"/>
      <c r="V1076" s="760"/>
      <c r="W1076" s="758"/>
      <c r="X1076" s="758"/>
    </row>
    <row r="1077" spans="1:24">
      <c r="A1077" s="755"/>
      <c r="B1077" s="755"/>
      <c r="C1077" s="756"/>
      <c r="D1077" s="755"/>
      <c r="E1077" s="755"/>
      <c r="F1077" s="756"/>
      <c r="G1077" s="755"/>
      <c r="H1077" s="755"/>
      <c r="I1077" s="757"/>
      <c r="J1077" s="755"/>
      <c r="K1077" s="756"/>
      <c r="L1077" s="758"/>
      <c r="M1077" s="758"/>
      <c r="N1077" s="758"/>
      <c r="O1077" s="758"/>
      <c r="P1077" s="758"/>
      <c r="Q1077" s="758"/>
      <c r="T1077" s="758"/>
      <c r="U1077" s="758"/>
      <c r="V1077" s="760"/>
      <c r="W1077" s="758"/>
      <c r="X1077" s="758"/>
    </row>
    <row r="1078" spans="1:24">
      <c r="A1078" s="755"/>
      <c r="B1078" s="755"/>
      <c r="C1078" s="756"/>
      <c r="D1078" s="755"/>
      <c r="E1078" s="755"/>
      <c r="F1078" s="756"/>
      <c r="G1078" s="755"/>
      <c r="H1078" s="755"/>
      <c r="I1078" s="757"/>
      <c r="J1078" s="755"/>
      <c r="K1078" s="756"/>
      <c r="L1078" s="758"/>
      <c r="M1078" s="758"/>
      <c r="N1078" s="758"/>
      <c r="O1078" s="758"/>
      <c r="P1078" s="758"/>
      <c r="Q1078" s="758"/>
      <c r="T1078" s="758"/>
      <c r="U1078" s="758"/>
      <c r="V1078" s="760"/>
      <c r="W1078" s="758"/>
      <c r="X1078" s="758"/>
    </row>
    <row r="1079" spans="1:24">
      <c r="A1079" s="755"/>
      <c r="B1079" s="755"/>
      <c r="C1079" s="756"/>
      <c r="D1079" s="755"/>
      <c r="E1079" s="755"/>
      <c r="F1079" s="756"/>
      <c r="G1079" s="755"/>
      <c r="H1079" s="755"/>
      <c r="I1079" s="757"/>
      <c r="J1079" s="755"/>
      <c r="K1079" s="756"/>
      <c r="L1079" s="758"/>
      <c r="M1079" s="758"/>
      <c r="N1079" s="758"/>
      <c r="O1079" s="758"/>
      <c r="P1079" s="758"/>
      <c r="Q1079" s="758"/>
      <c r="T1079" s="758"/>
      <c r="U1079" s="758"/>
      <c r="V1079" s="760"/>
      <c r="W1079" s="758"/>
      <c r="X1079" s="758"/>
    </row>
    <row r="1080" spans="1:24">
      <c r="A1080" s="755"/>
      <c r="B1080" s="755"/>
      <c r="C1080" s="756"/>
      <c r="D1080" s="755"/>
      <c r="E1080" s="755"/>
      <c r="F1080" s="756"/>
      <c r="G1080" s="755"/>
      <c r="H1080" s="755"/>
      <c r="I1080" s="757"/>
      <c r="J1080" s="755"/>
      <c r="K1080" s="756"/>
      <c r="L1080" s="758"/>
      <c r="M1080" s="758"/>
      <c r="N1080" s="758"/>
      <c r="O1080" s="758"/>
      <c r="P1080" s="758"/>
      <c r="Q1080" s="758"/>
      <c r="T1080" s="758"/>
      <c r="U1080" s="758"/>
      <c r="V1080" s="760"/>
      <c r="W1080" s="758"/>
      <c r="X1080" s="758"/>
    </row>
    <row r="1081" spans="1:24">
      <c r="A1081" s="755"/>
      <c r="B1081" s="755"/>
      <c r="C1081" s="756"/>
      <c r="D1081" s="755"/>
      <c r="E1081" s="755"/>
      <c r="F1081" s="756"/>
      <c r="G1081" s="755"/>
      <c r="H1081" s="755"/>
      <c r="I1081" s="757"/>
      <c r="J1081" s="755"/>
      <c r="K1081" s="756"/>
      <c r="L1081" s="758"/>
      <c r="M1081" s="758"/>
      <c r="N1081" s="758"/>
      <c r="O1081" s="758"/>
      <c r="P1081" s="758"/>
      <c r="Q1081" s="758"/>
      <c r="T1081" s="758"/>
      <c r="U1081" s="758"/>
      <c r="V1081" s="760"/>
      <c r="W1081" s="758"/>
      <c r="X1081" s="758"/>
    </row>
    <row r="1082" spans="1:24">
      <c r="A1082" s="755"/>
      <c r="B1082" s="755"/>
      <c r="C1082" s="756"/>
      <c r="D1082" s="755"/>
      <c r="E1082" s="755"/>
      <c r="F1082" s="756"/>
      <c r="G1082" s="755"/>
      <c r="H1082" s="755"/>
      <c r="I1082" s="757"/>
      <c r="J1082" s="755"/>
      <c r="K1082" s="756"/>
      <c r="L1082" s="758"/>
      <c r="M1082" s="758"/>
      <c r="N1082" s="758"/>
      <c r="O1082" s="758"/>
      <c r="P1082" s="758"/>
      <c r="Q1082" s="758"/>
      <c r="T1082" s="758"/>
      <c r="U1082" s="758"/>
      <c r="V1082" s="760"/>
      <c r="W1082" s="758"/>
      <c r="X1082" s="758"/>
    </row>
    <row r="1083" spans="1:24">
      <c r="A1083" s="755"/>
      <c r="B1083" s="755"/>
      <c r="C1083" s="756"/>
      <c r="D1083" s="755"/>
      <c r="E1083" s="755"/>
      <c r="F1083" s="756"/>
      <c r="G1083" s="755"/>
      <c r="H1083" s="755"/>
      <c r="I1083" s="757"/>
      <c r="J1083" s="755"/>
      <c r="K1083" s="756"/>
      <c r="L1083" s="758"/>
      <c r="M1083" s="758"/>
      <c r="N1083" s="758"/>
      <c r="O1083" s="758"/>
      <c r="P1083" s="758"/>
      <c r="Q1083" s="758"/>
      <c r="T1083" s="758"/>
      <c r="U1083" s="758"/>
      <c r="V1083" s="760"/>
      <c r="W1083" s="758"/>
      <c r="X1083" s="758"/>
    </row>
    <row r="1084" spans="1:24">
      <c r="A1084" s="755"/>
      <c r="B1084" s="755"/>
      <c r="C1084" s="756"/>
      <c r="D1084" s="755"/>
      <c r="E1084" s="755"/>
      <c r="F1084" s="756"/>
      <c r="G1084" s="755"/>
      <c r="H1084" s="755"/>
      <c r="I1084" s="757"/>
      <c r="J1084" s="755"/>
      <c r="K1084" s="756"/>
      <c r="L1084" s="758"/>
      <c r="M1084" s="758"/>
      <c r="N1084" s="758"/>
      <c r="O1084" s="758"/>
      <c r="P1084" s="758"/>
      <c r="Q1084" s="758"/>
      <c r="T1084" s="758"/>
      <c r="U1084" s="758"/>
      <c r="V1084" s="760"/>
      <c r="W1084" s="758"/>
      <c r="X1084" s="758"/>
    </row>
    <row r="1085" spans="1:24">
      <c r="A1085" s="755"/>
      <c r="B1085" s="755"/>
      <c r="C1085" s="756"/>
      <c r="D1085" s="755"/>
      <c r="E1085" s="755"/>
      <c r="F1085" s="756"/>
      <c r="G1085" s="755"/>
      <c r="H1085" s="755"/>
      <c r="I1085" s="757"/>
      <c r="J1085" s="755"/>
      <c r="K1085" s="756"/>
      <c r="L1085" s="758"/>
      <c r="M1085" s="758"/>
      <c r="N1085" s="758"/>
      <c r="O1085" s="758"/>
      <c r="P1085" s="758"/>
      <c r="Q1085" s="758"/>
      <c r="T1085" s="758"/>
      <c r="U1085" s="758"/>
      <c r="V1085" s="760"/>
      <c r="W1085" s="758"/>
      <c r="X1085" s="758"/>
    </row>
    <row r="1086" spans="1:24">
      <c r="A1086" s="755"/>
      <c r="B1086" s="755"/>
      <c r="C1086" s="756"/>
      <c r="D1086" s="755"/>
      <c r="E1086" s="755"/>
      <c r="F1086" s="756"/>
      <c r="G1086" s="755"/>
      <c r="H1086" s="755"/>
      <c r="I1086" s="757"/>
      <c r="J1086" s="755"/>
      <c r="K1086" s="756"/>
      <c r="L1086" s="758"/>
      <c r="M1086" s="758"/>
      <c r="N1086" s="758"/>
      <c r="O1086" s="758"/>
      <c r="P1086" s="758"/>
      <c r="Q1086" s="758"/>
      <c r="T1086" s="758"/>
      <c r="U1086" s="758"/>
      <c r="V1086" s="760"/>
      <c r="W1086" s="758"/>
      <c r="X1086" s="758"/>
    </row>
    <row r="1087" spans="1:24">
      <c r="A1087" s="755"/>
      <c r="B1087" s="755"/>
      <c r="C1087" s="756"/>
      <c r="D1087" s="755"/>
      <c r="E1087" s="755"/>
      <c r="F1087" s="756"/>
      <c r="G1087" s="755"/>
      <c r="H1087" s="755"/>
      <c r="I1087" s="757"/>
      <c r="J1087" s="755"/>
      <c r="K1087" s="756"/>
      <c r="L1087" s="758"/>
      <c r="M1087" s="758"/>
      <c r="N1087" s="758"/>
      <c r="O1087" s="758"/>
      <c r="P1087" s="758"/>
      <c r="Q1087" s="758"/>
      <c r="T1087" s="758"/>
      <c r="U1087" s="758"/>
      <c r="V1087" s="760"/>
      <c r="W1087" s="758"/>
      <c r="X1087" s="758"/>
    </row>
    <row r="1088" spans="1:24">
      <c r="A1088" s="755"/>
      <c r="B1088" s="755"/>
      <c r="C1088" s="756"/>
      <c r="D1088" s="755"/>
      <c r="E1088" s="755"/>
      <c r="F1088" s="756"/>
      <c r="G1088" s="755"/>
      <c r="H1088" s="755"/>
      <c r="I1088" s="757"/>
      <c r="J1088" s="755"/>
      <c r="K1088" s="756"/>
      <c r="L1088" s="758"/>
      <c r="M1088" s="758"/>
      <c r="N1088" s="758"/>
      <c r="O1088" s="758"/>
      <c r="P1088" s="758"/>
      <c r="Q1088" s="758"/>
      <c r="T1088" s="758"/>
      <c r="U1088" s="758"/>
      <c r="V1088" s="760"/>
      <c r="W1088" s="758"/>
      <c r="X1088" s="758"/>
    </row>
    <row r="1089" spans="1:24">
      <c r="A1089" s="755"/>
      <c r="B1089" s="755"/>
      <c r="C1089" s="756"/>
      <c r="D1089" s="755"/>
      <c r="E1089" s="755"/>
      <c r="F1089" s="756"/>
      <c r="G1089" s="755"/>
      <c r="H1089" s="755"/>
      <c r="I1089" s="757"/>
      <c r="J1089" s="755"/>
      <c r="K1089" s="756"/>
      <c r="L1089" s="758"/>
      <c r="M1089" s="758"/>
      <c r="N1089" s="758"/>
      <c r="O1089" s="758"/>
      <c r="P1089" s="758"/>
      <c r="Q1089" s="758"/>
      <c r="T1089" s="758"/>
      <c r="U1089" s="758"/>
      <c r="V1089" s="760"/>
      <c r="W1089" s="758"/>
      <c r="X1089" s="758"/>
    </row>
    <row r="1090" spans="1:24">
      <c r="A1090" s="755"/>
      <c r="B1090" s="755"/>
      <c r="C1090" s="756"/>
      <c r="D1090" s="755"/>
      <c r="E1090" s="755"/>
      <c r="F1090" s="756"/>
      <c r="G1090" s="755"/>
      <c r="H1090" s="755"/>
      <c r="I1090" s="757"/>
      <c r="J1090" s="755"/>
      <c r="K1090" s="756"/>
      <c r="L1090" s="758"/>
      <c r="M1090" s="758"/>
      <c r="N1090" s="758"/>
      <c r="O1090" s="758"/>
      <c r="P1090" s="758"/>
      <c r="Q1090" s="758"/>
      <c r="T1090" s="758"/>
      <c r="U1090" s="758"/>
      <c r="V1090" s="760"/>
      <c r="W1090" s="758"/>
      <c r="X1090" s="758"/>
    </row>
    <row r="1091" spans="1:24">
      <c r="A1091" s="755"/>
      <c r="B1091" s="755"/>
      <c r="C1091" s="756"/>
      <c r="D1091" s="755"/>
      <c r="E1091" s="755"/>
      <c r="F1091" s="756"/>
      <c r="G1091" s="755"/>
      <c r="H1091" s="755"/>
      <c r="I1091" s="757"/>
      <c r="J1091" s="755"/>
      <c r="K1091" s="756"/>
      <c r="L1091" s="758"/>
      <c r="M1091" s="758"/>
      <c r="N1091" s="758"/>
      <c r="O1091" s="758"/>
      <c r="P1091" s="758"/>
      <c r="Q1091" s="758"/>
      <c r="T1091" s="758"/>
      <c r="U1091" s="758"/>
      <c r="V1091" s="760"/>
      <c r="W1091" s="758"/>
      <c r="X1091" s="758"/>
    </row>
    <row r="1092" spans="1:24">
      <c r="A1092" s="755"/>
      <c r="B1092" s="755"/>
      <c r="C1092" s="756"/>
      <c r="D1092" s="755"/>
      <c r="E1092" s="755"/>
      <c r="F1092" s="756"/>
      <c r="G1092" s="755"/>
      <c r="H1092" s="755"/>
      <c r="I1092" s="757"/>
      <c r="J1092" s="755"/>
      <c r="K1092" s="756"/>
      <c r="L1092" s="758"/>
      <c r="M1092" s="758"/>
      <c r="N1092" s="758"/>
      <c r="O1092" s="758"/>
      <c r="P1092" s="758"/>
      <c r="Q1092" s="758"/>
      <c r="T1092" s="758"/>
      <c r="U1092" s="758"/>
      <c r="V1092" s="760"/>
      <c r="W1092" s="758"/>
      <c r="X1092" s="758"/>
    </row>
    <row r="1093" spans="1:24">
      <c r="A1093" s="755"/>
      <c r="B1093" s="755"/>
      <c r="C1093" s="756"/>
      <c r="D1093" s="755"/>
      <c r="E1093" s="755"/>
      <c r="F1093" s="756"/>
      <c r="G1093" s="755"/>
      <c r="H1093" s="755"/>
      <c r="I1093" s="757"/>
      <c r="J1093" s="755"/>
      <c r="K1093" s="756"/>
      <c r="L1093" s="758"/>
      <c r="M1093" s="758"/>
      <c r="N1093" s="758"/>
      <c r="O1093" s="758"/>
      <c r="P1093" s="758"/>
      <c r="Q1093" s="758"/>
      <c r="T1093" s="758"/>
      <c r="U1093" s="758"/>
      <c r="V1093" s="760"/>
      <c r="W1093" s="758"/>
      <c r="X1093" s="758"/>
    </row>
    <row r="1094" spans="1:24">
      <c r="A1094" s="755"/>
      <c r="B1094" s="755"/>
      <c r="C1094" s="756"/>
      <c r="D1094" s="755"/>
      <c r="E1094" s="755"/>
      <c r="F1094" s="756"/>
      <c r="G1094" s="755"/>
      <c r="H1094" s="755"/>
      <c r="I1094" s="757"/>
      <c r="J1094" s="755"/>
      <c r="K1094" s="756"/>
      <c r="L1094" s="758"/>
      <c r="M1094" s="758"/>
      <c r="N1094" s="758"/>
      <c r="O1094" s="758"/>
      <c r="P1094" s="758"/>
      <c r="Q1094" s="758"/>
      <c r="T1094" s="758"/>
      <c r="U1094" s="758"/>
      <c r="V1094" s="760"/>
      <c r="W1094" s="758"/>
      <c r="X1094" s="758"/>
    </row>
    <row r="1095" spans="1:24">
      <c r="A1095" s="755"/>
      <c r="B1095" s="755"/>
      <c r="C1095" s="756"/>
      <c r="D1095" s="755"/>
      <c r="E1095" s="755"/>
      <c r="F1095" s="756"/>
      <c r="G1095" s="755"/>
      <c r="H1095" s="755"/>
      <c r="I1095" s="757"/>
      <c r="J1095" s="755"/>
      <c r="K1095" s="756"/>
      <c r="L1095" s="758"/>
      <c r="M1095" s="758"/>
      <c r="N1095" s="758"/>
      <c r="O1095" s="758"/>
      <c r="P1095" s="758"/>
      <c r="Q1095" s="758"/>
      <c r="T1095" s="758"/>
      <c r="U1095" s="758"/>
      <c r="V1095" s="760"/>
      <c r="W1095" s="758"/>
      <c r="X1095" s="758"/>
    </row>
    <row r="1096" spans="1:24">
      <c r="A1096" s="755"/>
      <c r="B1096" s="755"/>
      <c r="C1096" s="756"/>
      <c r="D1096" s="755"/>
      <c r="E1096" s="755"/>
      <c r="F1096" s="756"/>
      <c r="G1096" s="755"/>
      <c r="H1096" s="755"/>
      <c r="I1096" s="757"/>
      <c r="J1096" s="755"/>
      <c r="K1096" s="756"/>
      <c r="L1096" s="758"/>
      <c r="M1096" s="758"/>
      <c r="N1096" s="758"/>
      <c r="O1096" s="758"/>
      <c r="P1096" s="758"/>
      <c r="Q1096" s="758"/>
      <c r="T1096" s="758"/>
      <c r="U1096" s="758"/>
      <c r="V1096" s="760"/>
      <c r="W1096" s="758"/>
      <c r="X1096" s="758"/>
    </row>
    <row r="1097" spans="1:24">
      <c r="A1097" s="755"/>
      <c r="B1097" s="755"/>
      <c r="C1097" s="756"/>
      <c r="D1097" s="755"/>
      <c r="E1097" s="755"/>
      <c r="F1097" s="756"/>
      <c r="G1097" s="755"/>
      <c r="H1097" s="755"/>
      <c r="I1097" s="757"/>
      <c r="J1097" s="755"/>
      <c r="K1097" s="756"/>
      <c r="L1097" s="758"/>
      <c r="M1097" s="758"/>
      <c r="N1097" s="758"/>
      <c r="O1097" s="758"/>
      <c r="P1097" s="758"/>
      <c r="Q1097" s="758"/>
      <c r="T1097" s="758"/>
      <c r="U1097" s="758"/>
      <c r="V1097" s="760"/>
      <c r="W1097" s="758"/>
      <c r="X1097" s="758"/>
    </row>
    <row r="1098" spans="1:24">
      <c r="A1098" s="755"/>
      <c r="B1098" s="755"/>
      <c r="C1098" s="756"/>
      <c r="D1098" s="755"/>
      <c r="E1098" s="755"/>
      <c r="F1098" s="756"/>
      <c r="G1098" s="755"/>
      <c r="H1098" s="755"/>
      <c r="I1098" s="757"/>
      <c r="J1098" s="755"/>
      <c r="K1098" s="756"/>
      <c r="L1098" s="758"/>
      <c r="M1098" s="758"/>
      <c r="N1098" s="758"/>
      <c r="O1098" s="758"/>
      <c r="P1098" s="758"/>
      <c r="Q1098" s="758"/>
      <c r="T1098" s="758"/>
      <c r="U1098" s="758"/>
      <c r="V1098" s="760"/>
      <c r="W1098" s="758"/>
      <c r="X1098" s="758"/>
    </row>
    <row r="1099" spans="1:24">
      <c r="A1099" s="755"/>
      <c r="B1099" s="755"/>
      <c r="C1099" s="756"/>
      <c r="D1099" s="755"/>
      <c r="E1099" s="755"/>
      <c r="F1099" s="756"/>
      <c r="G1099" s="755"/>
      <c r="H1099" s="755"/>
      <c r="I1099" s="757"/>
      <c r="J1099" s="755"/>
      <c r="K1099" s="756"/>
      <c r="L1099" s="758"/>
      <c r="M1099" s="758"/>
      <c r="N1099" s="758"/>
      <c r="O1099" s="758"/>
      <c r="P1099" s="758"/>
      <c r="Q1099" s="758"/>
      <c r="T1099" s="758"/>
      <c r="U1099" s="758"/>
      <c r="V1099" s="760"/>
      <c r="W1099" s="758"/>
      <c r="X1099" s="758"/>
    </row>
    <row r="1100" spans="1:24">
      <c r="A1100" s="755"/>
      <c r="B1100" s="755"/>
      <c r="C1100" s="756"/>
      <c r="D1100" s="755"/>
      <c r="E1100" s="755"/>
      <c r="F1100" s="756"/>
      <c r="G1100" s="755"/>
      <c r="H1100" s="755"/>
      <c r="I1100" s="757"/>
      <c r="J1100" s="755"/>
      <c r="K1100" s="756"/>
      <c r="L1100" s="758"/>
      <c r="M1100" s="758"/>
      <c r="N1100" s="758"/>
      <c r="O1100" s="758"/>
      <c r="P1100" s="758"/>
      <c r="Q1100" s="758"/>
      <c r="T1100" s="758"/>
      <c r="U1100" s="758"/>
      <c r="V1100" s="760"/>
      <c r="W1100" s="758"/>
      <c r="X1100" s="758"/>
    </row>
    <row r="1101" spans="1:24">
      <c r="A1101" s="755"/>
      <c r="B1101" s="755"/>
      <c r="C1101" s="756"/>
      <c r="D1101" s="755"/>
      <c r="E1101" s="755"/>
      <c r="F1101" s="756"/>
      <c r="G1101" s="755"/>
      <c r="H1101" s="755"/>
      <c r="I1101" s="757"/>
      <c r="J1101" s="755"/>
      <c r="K1101" s="756"/>
      <c r="L1101" s="758"/>
      <c r="M1101" s="758"/>
      <c r="N1101" s="758"/>
      <c r="O1101" s="758"/>
      <c r="P1101" s="758"/>
      <c r="Q1101" s="758"/>
      <c r="T1101" s="758"/>
      <c r="U1101" s="758"/>
      <c r="V1101" s="760"/>
      <c r="W1101" s="758"/>
      <c r="X1101" s="758"/>
    </row>
    <row r="1102" spans="1:24">
      <c r="A1102" s="755"/>
      <c r="B1102" s="755"/>
      <c r="C1102" s="756"/>
      <c r="D1102" s="755"/>
      <c r="E1102" s="755"/>
      <c r="F1102" s="756"/>
      <c r="G1102" s="755"/>
      <c r="H1102" s="755"/>
      <c r="I1102" s="757"/>
      <c r="J1102" s="755"/>
      <c r="K1102" s="756"/>
      <c r="L1102" s="758"/>
      <c r="M1102" s="758"/>
      <c r="N1102" s="758"/>
      <c r="O1102" s="758"/>
      <c r="P1102" s="758"/>
      <c r="Q1102" s="758"/>
      <c r="T1102" s="758"/>
      <c r="U1102" s="758"/>
      <c r="V1102" s="760"/>
      <c r="W1102" s="758"/>
      <c r="X1102" s="758"/>
    </row>
    <row r="1103" spans="1:24">
      <c r="A1103" s="755"/>
      <c r="B1103" s="755"/>
      <c r="C1103" s="756"/>
      <c r="D1103" s="755"/>
      <c r="E1103" s="755"/>
      <c r="F1103" s="756"/>
      <c r="G1103" s="755"/>
      <c r="H1103" s="755"/>
      <c r="I1103" s="757"/>
      <c r="J1103" s="755"/>
      <c r="K1103" s="756"/>
      <c r="L1103" s="758"/>
      <c r="M1103" s="758"/>
      <c r="N1103" s="758"/>
      <c r="O1103" s="758"/>
      <c r="P1103" s="758"/>
      <c r="Q1103" s="758"/>
      <c r="T1103" s="758"/>
      <c r="U1103" s="758"/>
      <c r="V1103" s="760"/>
      <c r="W1103" s="758"/>
      <c r="X1103" s="758"/>
    </row>
    <row r="1104" spans="1:24">
      <c r="A1104" s="755"/>
      <c r="B1104" s="755"/>
      <c r="C1104" s="756"/>
      <c r="D1104" s="755"/>
      <c r="E1104" s="755"/>
      <c r="F1104" s="756"/>
      <c r="G1104" s="755"/>
      <c r="H1104" s="755"/>
      <c r="I1104" s="757"/>
      <c r="J1104" s="755"/>
      <c r="K1104" s="756"/>
      <c r="L1104" s="758"/>
      <c r="M1104" s="758"/>
      <c r="N1104" s="758"/>
      <c r="O1104" s="758"/>
      <c r="P1104" s="758"/>
      <c r="Q1104" s="758"/>
      <c r="T1104" s="758"/>
      <c r="U1104" s="758"/>
      <c r="V1104" s="760"/>
      <c r="W1104" s="758"/>
      <c r="X1104" s="758"/>
    </row>
    <row r="1105" spans="1:24">
      <c r="A1105" s="755"/>
      <c r="B1105" s="755"/>
      <c r="C1105" s="756"/>
      <c r="D1105" s="755"/>
      <c r="E1105" s="755"/>
      <c r="F1105" s="756"/>
      <c r="G1105" s="755"/>
      <c r="H1105" s="755"/>
      <c r="I1105" s="757"/>
      <c r="J1105" s="755"/>
      <c r="K1105" s="756"/>
      <c r="L1105" s="758"/>
      <c r="M1105" s="758"/>
      <c r="N1105" s="758"/>
      <c r="O1105" s="758"/>
      <c r="P1105" s="758"/>
      <c r="Q1105" s="758"/>
      <c r="T1105" s="758"/>
      <c r="U1105" s="758"/>
      <c r="V1105" s="760"/>
      <c r="W1105" s="758"/>
      <c r="X1105" s="758"/>
    </row>
    <row r="1106" spans="1:24">
      <c r="A1106" s="755"/>
      <c r="B1106" s="755"/>
      <c r="C1106" s="756"/>
      <c r="D1106" s="755"/>
      <c r="E1106" s="755"/>
      <c r="F1106" s="756"/>
      <c r="G1106" s="755"/>
      <c r="H1106" s="755"/>
      <c r="I1106" s="757"/>
      <c r="J1106" s="755"/>
      <c r="K1106" s="756"/>
      <c r="L1106" s="758"/>
      <c r="M1106" s="758"/>
      <c r="N1106" s="758"/>
      <c r="O1106" s="758"/>
      <c r="P1106" s="758"/>
      <c r="Q1106" s="758"/>
      <c r="T1106" s="758"/>
      <c r="U1106" s="758"/>
      <c r="V1106" s="760"/>
      <c r="W1106" s="758"/>
      <c r="X1106" s="758"/>
    </row>
    <row r="1107" spans="1:24">
      <c r="A1107" s="755"/>
      <c r="B1107" s="755"/>
      <c r="C1107" s="756"/>
      <c r="D1107" s="755"/>
      <c r="E1107" s="755"/>
      <c r="F1107" s="756"/>
      <c r="G1107" s="755"/>
      <c r="H1107" s="755"/>
      <c r="I1107" s="757"/>
      <c r="J1107" s="755"/>
      <c r="K1107" s="756"/>
      <c r="L1107" s="758"/>
      <c r="M1107" s="758"/>
      <c r="N1107" s="758"/>
      <c r="O1107" s="758"/>
      <c r="P1107" s="758"/>
      <c r="Q1107" s="758"/>
      <c r="T1107" s="758"/>
      <c r="U1107" s="758"/>
      <c r="V1107" s="760"/>
      <c r="W1107" s="758"/>
      <c r="X1107" s="758"/>
    </row>
    <row r="1108" spans="1:24">
      <c r="A1108" s="755"/>
      <c r="B1108" s="755"/>
      <c r="C1108" s="756"/>
      <c r="D1108" s="755"/>
      <c r="E1108" s="755"/>
      <c r="F1108" s="756"/>
      <c r="G1108" s="755"/>
      <c r="H1108" s="755"/>
      <c r="I1108" s="757"/>
      <c r="J1108" s="755"/>
      <c r="K1108" s="756"/>
      <c r="L1108" s="758"/>
      <c r="M1108" s="758"/>
      <c r="N1108" s="758"/>
      <c r="O1108" s="758"/>
      <c r="P1108" s="758"/>
      <c r="Q1108" s="758"/>
      <c r="T1108" s="758"/>
      <c r="U1108" s="758"/>
      <c r="V1108" s="760"/>
      <c r="W1108" s="758"/>
      <c r="X1108" s="758"/>
    </row>
    <row r="1109" spans="1:24">
      <c r="A1109" s="755"/>
      <c r="B1109" s="755"/>
      <c r="C1109" s="756"/>
      <c r="D1109" s="755"/>
      <c r="E1109" s="755"/>
      <c r="F1109" s="756"/>
      <c r="G1109" s="755"/>
      <c r="H1109" s="755"/>
      <c r="I1109" s="757"/>
      <c r="J1109" s="755"/>
      <c r="K1109" s="756"/>
      <c r="L1109" s="758"/>
      <c r="M1109" s="758"/>
      <c r="N1109" s="758"/>
      <c r="O1109" s="758"/>
      <c r="P1109" s="758"/>
      <c r="Q1109" s="758"/>
      <c r="T1109" s="758"/>
      <c r="U1109" s="758"/>
      <c r="V1109" s="760"/>
      <c r="W1109" s="758"/>
      <c r="X1109" s="758"/>
    </row>
    <row r="1110" spans="1:24">
      <c r="A1110" s="755"/>
      <c r="B1110" s="755"/>
      <c r="C1110" s="756"/>
      <c r="D1110" s="755"/>
      <c r="E1110" s="755"/>
      <c r="F1110" s="756"/>
      <c r="G1110" s="755"/>
      <c r="H1110" s="755"/>
      <c r="I1110" s="757"/>
      <c r="J1110" s="755"/>
      <c r="K1110" s="756"/>
      <c r="L1110" s="758"/>
      <c r="M1110" s="758"/>
      <c r="N1110" s="758"/>
      <c r="O1110" s="758"/>
      <c r="P1110" s="758"/>
      <c r="Q1110" s="758"/>
      <c r="T1110" s="758"/>
      <c r="U1110" s="758"/>
      <c r="V1110" s="760"/>
      <c r="W1110" s="758"/>
      <c r="X1110" s="758"/>
    </row>
    <row r="1111" spans="1:24">
      <c r="A1111" s="755"/>
      <c r="B1111" s="755"/>
      <c r="C1111" s="756"/>
      <c r="D1111" s="755"/>
      <c r="E1111" s="755"/>
      <c r="F1111" s="756"/>
      <c r="G1111" s="755"/>
      <c r="H1111" s="755"/>
      <c r="I1111" s="757"/>
      <c r="J1111" s="755"/>
      <c r="K1111" s="756"/>
      <c r="L1111" s="758"/>
      <c r="M1111" s="758"/>
      <c r="N1111" s="758"/>
      <c r="O1111" s="758"/>
      <c r="P1111" s="758"/>
      <c r="Q1111" s="758"/>
      <c r="T1111" s="758"/>
      <c r="U1111" s="758"/>
      <c r="V1111" s="760"/>
      <c r="W1111" s="758"/>
      <c r="X1111" s="758"/>
    </row>
    <row r="1112" spans="1:24">
      <c r="A1112" s="755"/>
      <c r="B1112" s="755"/>
      <c r="C1112" s="756"/>
      <c r="D1112" s="755"/>
      <c r="E1112" s="755"/>
      <c r="F1112" s="756"/>
      <c r="G1112" s="755"/>
      <c r="H1112" s="755"/>
      <c r="I1112" s="757"/>
      <c r="J1112" s="755"/>
      <c r="K1112" s="756"/>
      <c r="L1112" s="758"/>
      <c r="M1112" s="758"/>
      <c r="N1112" s="758"/>
      <c r="O1112" s="758"/>
      <c r="P1112" s="758"/>
      <c r="Q1112" s="758"/>
      <c r="T1112" s="758"/>
      <c r="U1112" s="758"/>
      <c r="V1112" s="760"/>
      <c r="W1112" s="758"/>
      <c r="X1112" s="758"/>
    </row>
    <row r="1113" spans="1:24">
      <c r="A1113" s="755"/>
      <c r="B1113" s="755"/>
      <c r="C1113" s="756"/>
      <c r="D1113" s="755"/>
      <c r="E1113" s="755"/>
      <c r="F1113" s="756"/>
      <c r="G1113" s="755"/>
      <c r="H1113" s="755"/>
      <c r="I1113" s="757"/>
      <c r="J1113" s="755"/>
      <c r="K1113" s="756"/>
      <c r="L1113" s="758"/>
      <c r="M1113" s="758"/>
      <c r="N1113" s="758"/>
      <c r="O1113" s="758"/>
      <c r="P1113" s="758"/>
      <c r="Q1113" s="758"/>
      <c r="T1113" s="758"/>
      <c r="U1113" s="758"/>
      <c r="V1113" s="760"/>
      <c r="W1113" s="758"/>
      <c r="X1113" s="758"/>
    </row>
    <row r="1114" spans="1:24">
      <c r="A1114" s="755"/>
      <c r="B1114" s="755"/>
      <c r="C1114" s="756"/>
      <c r="D1114" s="755"/>
      <c r="E1114" s="755"/>
      <c r="F1114" s="756"/>
      <c r="G1114" s="755"/>
      <c r="H1114" s="755"/>
      <c r="I1114" s="757"/>
      <c r="J1114" s="755"/>
      <c r="K1114" s="756"/>
      <c r="L1114" s="758"/>
      <c r="M1114" s="758"/>
      <c r="N1114" s="758"/>
      <c r="O1114" s="758"/>
      <c r="P1114" s="758"/>
      <c r="Q1114" s="758"/>
      <c r="T1114" s="758"/>
      <c r="U1114" s="758"/>
      <c r="V1114" s="760"/>
      <c r="W1114" s="758"/>
      <c r="X1114" s="758"/>
    </row>
    <row r="1115" spans="1:24">
      <c r="A1115" s="755"/>
      <c r="B1115" s="755"/>
      <c r="C1115" s="756"/>
      <c r="D1115" s="755"/>
      <c r="E1115" s="755"/>
      <c r="F1115" s="756"/>
      <c r="G1115" s="755"/>
      <c r="H1115" s="755"/>
      <c r="I1115" s="757"/>
      <c r="J1115" s="755"/>
      <c r="K1115" s="756"/>
      <c r="L1115" s="758"/>
      <c r="M1115" s="758"/>
      <c r="N1115" s="758"/>
      <c r="O1115" s="758"/>
      <c r="P1115" s="758"/>
      <c r="Q1115" s="758"/>
      <c r="T1115" s="758"/>
      <c r="U1115" s="758"/>
      <c r="V1115" s="760"/>
      <c r="W1115" s="758"/>
      <c r="X1115" s="758"/>
    </row>
    <row r="1116" spans="1:24">
      <c r="A1116" s="755"/>
      <c r="B1116" s="755"/>
      <c r="C1116" s="756"/>
      <c r="D1116" s="755"/>
      <c r="E1116" s="755"/>
      <c r="F1116" s="756"/>
      <c r="G1116" s="755"/>
      <c r="H1116" s="755"/>
      <c r="I1116" s="757"/>
      <c r="J1116" s="755"/>
      <c r="K1116" s="756"/>
      <c r="L1116" s="758"/>
      <c r="M1116" s="758"/>
      <c r="N1116" s="758"/>
      <c r="O1116" s="758"/>
      <c r="P1116" s="758"/>
      <c r="Q1116" s="758"/>
      <c r="T1116" s="758"/>
      <c r="U1116" s="758"/>
      <c r="V1116" s="760"/>
      <c r="W1116" s="758"/>
      <c r="X1116" s="758"/>
    </row>
    <row r="1117" spans="1:24">
      <c r="A1117" s="755"/>
      <c r="B1117" s="755"/>
      <c r="C1117" s="756"/>
      <c r="D1117" s="755"/>
      <c r="E1117" s="755"/>
      <c r="F1117" s="756"/>
      <c r="G1117" s="755"/>
      <c r="H1117" s="755"/>
      <c r="I1117" s="757"/>
      <c r="J1117" s="755"/>
      <c r="K1117" s="756"/>
      <c r="L1117" s="758"/>
      <c r="M1117" s="758"/>
      <c r="N1117" s="758"/>
      <c r="O1117" s="758"/>
      <c r="P1117" s="758"/>
      <c r="Q1117" s="758"/>
      <c r="T1117" s="758"/>
      <c r="U1117" s="758"/>
      <c r="V1117" s="760"/>
      <c r="W1117" s="758"/>
      <c r="X1117" s="758"/>
    </row>
    <row r="1118" spans="1:24">
      <c r="A1118" s="755"/>
      <c r="B1118" s="755"/>
      <c r="C1118" s="756"/>
      <c r="D1118" s="755"/>
      <c r="E1118" s="755"/>
      <c r="F1118" s="756"/>
      <c r="G1118" s="755"/>
      <c r="H1118" s="755"/>
      <c r="I1118" s="757"/>
      <c r="J1118" s="755"/>
      <c r="K1118" s="756"/>
      <c r="L1118" s="758"/>
      <c r="M1118" s="758"/>
      <c r="N1118" s="758"/>
      <c r="O1118" s="758"/>
      <c r="P1118" s="758"/>
      <c r="Q1118" s="758"/>
      <c r="T1118" s="758"/>
      <c r="U1118" s="758"/>
      <c r="V1118" s="760"/>
      <c r="W1118" s="758"/>
      <c r="X1118" s="758"/>
    </row>
    <row r="1119" spans="1:24">
      <c r="A1119" s="755"/>
      <c r="B1119" s="755"/>
      <c r="C1119" s="756"/>
      <c r="D1119" s="755"/>
      <c r="E1119" s="755"/>
      <c r="F1119" s="756"/>
      <c r="G1119" s="755"/>
      <c r="H1119" s="755"/>
      <c r="I1119" s="757"/>
      <c r="J1119" s="755"/>
      <c r="K1119" s="756"/>
      <c r="L1119" s="758"/>
      <c r="M1119" s="758"/>
      <c r="N1119" s="758"/>
      <c r="O1119" s="758"/>
      <c r="P1119" s="758"/>
      <c r="Q1119" s="758"/>
      <c r="T1119" s="758"/>
      <c r="U1119" s="758"/>
      <c r="V1119" s="760"/>
      <c r="W1119" s="758"/>
      <c r="X1119" s="758"/>
    </row>
    <row r="1120" spans="1:24">
      <c r="A1120" s="755"/>
      <c r="B1120" s="755"/>
      <c r="C1120" s="756"/>
      <c r="D1120" s="755"/>
      <c r="E1120" s="755"/>
      <c r="F1120" s="756"/>
      <c r="G1120" s="755"/>
      <c r="H1120" s="755"/>
      <c r="I1120" s="757"/>
      <c r="J1120" s="755"/>
      <c r="K1120" s="756"/>
      <c r="L1120" s="758"/>
      <c r="M1120" s="758"/>
      <c r="N1120" s="758"/>
      <c r="O1120" s="758"/>
      <c r="P1120" s="758"/>
      <c r="Q1120" s="758"/>
      <c r="T1120" s="758"/>
      <c r="U1120" s="758"/>
      <c r="V1120" s="760"/>
      <c r="W1120" s="758"/>
      <c r="X1120" s="758"/>
    </row>
    <row r="1121" spans="1:24">
      <c r="A1121" s="755"/>
      <c r="B1121" s="755"/>
      <c r="C1121" s="756"/>
      <c r="D1121" s="755"/>
      <c r="E1121" s="755"/>
      <c r="F1121" s="756"/>
      <c r="G1121" s="755"/>
      <c r="H1121" s="755"/>
      <c r="I1121" s="757"/>
      <c r="J1121" s="755"/>
      <c r="K1121" s="756"/>
      <c r="L1121" s="758"/>
      <c r="M1121" s="758"/>
      <c r="N1121" s="758"/>
      <c r="O1121" s="758"/>
      <c r="P1121" s="758"/>
      <c r="Q1121" s="758"/>
      <c r="T1121" s="758"/>
      <c r="U1121" s="758"/>
      <c r="V1121" s="760"/>
      <c r="W1121" s="758"/>
      <c r="X1121" s="758"/>
    </row>
    <row r="1122" spans="1:24">
      <c r="A1122" s="755"/>
      <c r="B1122" s="755"/>
      <c r="C1122" s="756"/>
      <c r="D1122" s="755"/>
      <c r="E1122" s="755"/>
      <c r="F1122" s="756"/>
      <c r="G1122" s="755"/>
      <c r="H1122" s="755"/>
      <c r="I1122" s="757"/>
      <c r="J1122" s="755"/>
      <c r="K1122" s="756"/>
      <c r="L1122" s="758"/>
      <c r="M1122" s="758"/>
      <c r="N1122" s="758"/>
      <c r="O1122" s="758"/>
      <c r="P1122" s="758"/>
      <c r="Q1122" s="758"/>
      <c r="T1122" s="758"/>
      <c r="U1122" s="758"/>
      <c r="V1122" s="760"/>
      <c r="W1122" s="758"/>
      <c r="X1122" s="758"/>
    </row>
    <row r="1123" spans="1:24">
      <c r="A1123" s="755"/>
      <c r="B1123" s="755"/>
      <c r="C1123" s="756"/>
      <c r="D1123" s="755"/>
      <c r="E1123" s="755"/>
      <c r="F1123" s="756"/>
      <c r="G1123" s="755"/>
      <c r="H1123" s="755"/>
      <c r="I1123" s="757"/>
      <c r="J1123" s="755"/>
      <c r="K1123" s="756"/>
      <c r="L1123" s="758"/>
      <c r="M1123" s="758"/>
      <c r="N1123" s="758"/>
      <c r="O1123" s="758"/>
      <c r="P1123" s="758"/>
      <c r="Q1123" s="758"/>
      <c r="T1123" s="758"/>
      <c r="U1123" s="758"/>
      <c r="V1123" s="760"/>
      <c r="W1123" s="758"/>
      <c r="X1123" s="758"/>
    </row>
    <row r="1124" spans="1:24">
      <c r="A1124" s="755"/>
      <c r="B1124" s="755"/>
      <c r="C1124" s="756"/>
      <c r="D1124" s="755"/>
      <c r="E1124" s="755"/>
      <c r="F1124" s="756"/>
      <c r="G1124" s="755"/>
      <c r="H1124" s="755"/>
      <c r="I1124" s="757"/>
      <c r="J1124" s="755"/>
      <c r="K1124" s="756"/>
      <c r="L1124" s="758"/>
      <c r="M1124" s="758"/>
      <c r="N1124" s="758"/>
      <c r="O1124" s="758"/>
      <c r="P1124" s="758"/>
      <c r="Q1124" s="758"/>
      <c r="T1124" s="758"/>
      <c r="U1124" s="758"/>
      <c r="V1124" s="760"/>
      <c r="W1124" s="758"/>
      <c r="X1124" s="758"/>
    </row>
    <row r="1125" spans="1:24">
      <c r="A1125" s="755"/>
      <c r="B1125" s="755"/>
      <c r="C1125" s="756"/>
      <c r="D1125" s="755"/>
      <c r="E1125" s="755"/>
      <c r="F1125" s="756"/>
      <c r="G1125" s="755"/>
      <c r="H1125" s="755"/>
      <c r="I1125" s="757"/>
      <c r="J1125" s="755"/>
      <c r="K1125" s="756"/>
      <c r="L1125" s="758"/>
      <c r="M1125" s="758"/>
      <c r="N1125" s="758"/>
      <c r="O1125" s="758"/>
      <c r="P1125" s="758"/>
      <c r="Q1125" s="758"/>
      <c r="T1125" s="758"/>
      <c r="U1125" s="758"/>
      <c r="V1125" s="760"/>
      <c r="W1125" s="758"/>
      <c r="X1125" s="758"/>
    </row>
    <row r="1126" spans="1:24">
      <c r="A1126" s="755"/>
      <c r="B1126" s="755"/>
      <c r="C1126" s="756"/>
      <c r="D1126" s="755"/>
      <c r="E1126" s="755"/>
      <c r="F1126" s="756"/>
      <c r="G1126" s="755"/>
      <c r="H1126" s="755"/>
      <c r="I1126" s="757"/>
      <c r="J1126" s="755"/>
      <c r="K1126" s="756"/>
      <c r="L1126" s="758"/>
      <c r="M1126" s="758"/>
      <c r="N1126" s="758"/>
      <c r="O1126" s="758"/>
      <c r="P1126" s="758"/>
      <c r="Q1126" s="758"/>
      <c r="T1126" s="758"/>
      <c r="U1126" s="758"/>
      <c r="V1126" s="760"/>
      <c r="W1126" s="758"/>
      <c r="X1126" s="758"/>
    </row>
    <row r="1127" spans="1:24">
      <c r="A1127" s="755"/>
      <c r="B1127" s="755"/>
      <c r="C1127" s="756"/>
      <c r="D1127" s="755"/>
      <c r="E1127" s="755"/>
      <c r="F1127" s="756"/>
      <c r="G1127" s="755"/>
      <c r="H1127" s="755"/>
      <c r="I1127" s="757"/>
      <c r="J1127" s="755"/>
      <c r="K1127" s="756"/>
      <c r="L1127" s="758"/>
      <c r="M1127" s="758"/>
      <c r="N1127" s="758"/>
      <c r="O1127" s="758"/>
      <c r="P1127" s="758"/>
      <c r="Q1127" s="758"/>
      <c r="T1127" s="758"/>
      <c r="U1127" s="758"/>
      <c r="V1127" s="760"/>
      <c r="W1127" s="758"/>
      <c r="X1127" s="758"/>
    </row>
    <row r="1128" spans="1:24">
      <c r="A1128" s="755"/>
      <c r="B1128" s="755"/>
      <c r="C1128" s="756"/>
      <c r="D1128" s="755"/>
      <c r="E1128" s="755"/>
      <c r="F1128" s="756"/>
      <c r="G1128" s="755"/>
      <c r="H1128" s="755"/>
      <c r="I1128" s="757"/>
      <c r="J1128" s="755"/>
      <c r="K1128" s="756"/>
      <c r="L1128" s="758"/>
      <c r="M1128" s="758"/>
      <c r="N1128" s="758"/>
      <c r="O1128" s="758"/>
      <c r="P1128" s="758"/>
      <c r="Q1128" s="758"/>
      <c r="T1128" s="758"/>
      <c r="U1128" s="758"/>
      <c r="V1128" s="760"/>
      <c r="W1128" s="758"/>
      <c r="X1128" s="758"/>
    </row>
    <row r="1129" spans="1:24">
      <c r="A1129" s="755"/>
      <c r="B1129" s="755"/>
      <c r="C1129" s="756"/>
      <c r="D1129" s="755"/>
      <c r="E1129" s="755"/>
      <c r="F1129" s="756"/>
      <c r="G1129" s="755"/>
      <c r="H1129" s="755"/>
      <c r="I1129" s="757"/>
      <c r="J1129" s="755"/>
      <c r="K1129" s="756"/>
      <c r="L1129" s="758"/>
      <c r="M1129" s="758"/>
      <c r="N1129" s="758"/>
      <c r="O1129" s="758"/>
      <c r="P1129" s="758"/>
      <c r="Q1129" s="758"/>
      <c r="T1129" s="758"/>
      <c r="U1129" s="758"/>
      <c r="V1129" s="760"/>
      <c r="W1129" s="758"/>
      <c r="X1129" s="758"/>
    </row>
    <row r="1130" spans="1:24">
      <c r="A1130" s="755"/>
      <c r="B1130" s="755"/>
      <c r="C1130" s="756"/>
      <c r="D1130" s="755"/>
      <c r="E1130" s="755"/>
      <c r="F1130" s="756"/>
      <c r="G1130" s="755"/>
      <c r="H1130" s="755"/>
      <c r="I1130" s="757"/>
      <c r="J1130" s="755"/>
      <c r="K1130" s="756"/>
      <c r="L1130" s="758"/>
      <c r="M1130" s="758"/>
      <c r="N1130" s="758"/>
      <c r="O1130" s="758"/>
      <c r="P1130" s="758"/>
      <c r="Q1130" s="758"/>
      <c r="T1130" s="758"/>
      <c r="U1130" s="758"/>
      <c r="V1130" s="760"/>
      <c r="W1130" s="758"/>
      <c r="X1130" s="758"/>
    </row>
    <row r="1131" spans="1:24">
      <c r="A1131" s="755"/>
      <c r="B1131" s="755"/>
      <c r="C1131" s="756"/>
      <c r="D1131" s="755"/>
      <c r="E1131" s="755"/>
      <c r="F1131" s="756"/>
      <c r="G1131" s="755"/>
      <c r="H1131" s="755"/>
      <c r="I1131" s="757"/>
      <c r="J1131" s="755"/>
      <c r="K1131" s="756"/>
      <c r="L1131" s="758"/>
      <c r="M1131" s="758"/>
      <c r="N1131" s="758"/>
      <c r="O1131" s="758"/>
      <c r="P1131" s="758"/>
      <c r="Q1131" s="758"/>
      <c r="T1131" s="758"/>
      <c r="U1131" s="758"/>
      <c r="V1131" s="760"/>
      <c r="W1131" s="758"/>
      <c r="X1131" s="758"/>
    </row>
    <row r="1132" spans="1:24">
      <c r="A1132" s="755"/>
      <c r="B1132" s="755"/>
      <c r="C1132" s="756"/>
      <c r="D1132" s="755"/>
      <c r="E1132" s="755"/>
      <c r="F1132" s="756"/>
      <c r="G1132" s="755"/>
      <c r="H1132" s="755"/>
      <c r="I1132" s="757"/>
      <c r="J1132" s="755"/>
      <c r="K1132" s="756"/>
      <c r="L1132" s="758"/>
      <c r="M1132" s="758"/>
      <c r="N1132" s="758"/>
      <c r="O1132" s="758"/>
      <c r="P1132" s="758"/>
      <c r="Q1132" s="758"/>
      <c r="T1132" s="758"/>
      <c r="U1132" s="758"/>
      <c r="V1132" s="760"/>
      <c r="W1132" s="758"/>
      <c r="X1132" s="758"/>
    </row>
    <row r="1133" spans="1:24">
      <c r="A1133" s="755"/>
      <c r="B1133" s="755"/>
      <c r="C1133" s="756"/>
      <c r="D1133" s="755"/>
      <c r="E1133" s="755"/>
      <c r="F1133" s="756"/>
      <c r="G1133" s="755"/>
      <c r="H1133" s="755"/>
      <c r="I1133" s="757"/>
      <c r="J1133" s="755"/>
      <c r="K1133" s="756"/>
      <c r="L1133" s="758"/>
      <c r="M1133" s="758"/>
      <c r="N1133" s="758"/>
      <c r="O1133" s="758"/>
      <c r="P1133" s="758"/>
      <c r="Q1133" s="758"/>
      <c r="T1133" s="758"/>
      <c r="U1133" s="758"/>
      <c r="V1133" s="760"/>
      <c r="W1133" s="758"/>
      <c r="X1133" s="758"/>
    </row>
    <row r="1134" spans="1:24">
      <c r="A1134" s="755"/>
      <c r="B1134" s="755"/>
      <c r="C1134" s="756"/>
      <c r="D1134" s="755"/>
      <c r="E1134" s="755"/>
      <c r="F1134" s="756"/>
      <c r="G1134" s="755"/>
      <c r="H1134" s="755"/>
      <c r="I1134" s="757"/>
      <c r="J1134" s="755"/>
      <c r="K1134" s="756"/>
      <c r="L1134" s="758"/>
      <c r="M1134" s="758"/>
      <c r="N1134" s="758"/>
      <c r="O1134" s="758"/>
      <c r="P1134" s="758"/>
      <c r="Q1134" s="758"/>
      <c r="T1134" s="758"/>
      <c r="U1134" s="758"/>
      <c r="V1134" s="760"/>
      <c r="W1134" s="758"/>
      <c r="X1134" s="758"/>
    </row>
    <row r="1135" spans="1:24">
      <c r="A1135" s="755"/>
      <c r="B1135" s="755"/>
      <c r="C1135" s="756"/>
      <c r="D1135" s="755"/>
      <c r="E1135" s="755"/>
      <c r="F1135" s="756"/>
      <c r="G1135" s="755"/>
      <c r="H1135" s="755"/>
      <c r="I1135" s="757"/>
      <c r="J1135" s="755"/>
      <c r="K1135" s="756"/>
      <c r="L1135" s="758"/>
      <c r="M1135" s="758"/>
      <c r="N1135" s="758"/>
      <c r="O1135" s="758"/>
      <c r="P1135" s="758"/>
      <c r="Q1135" s="758"/>
      <c r="T1135" s="758"/>
      <c r="U1135" s="758"/>
      <c r="V1135" s="760"/>
      <c r="W1135" s="758"/>
      <c r="X1135" s="758"/>
    </row>
    <row r="1136" spans="1:24">
      <c r="A1136" s="755"/>
      <c r="B1136" s="755"/>
      <c r="C1136" s="756"/>
      <c r="D1136" s="755"/>
      <c r="E1136" s="755"/>
      <c r="F1136" s="756"/>
      <c r="G1136" s="755"/>
      <c r="H1136" s="755"/>
      <c r="I1136" s="757"/>
      <c r="J1136" s="755"/>
      <c r="K1136" s="756"/>
      <c r="L1136" s="758"/>
      <c r="M1136" s="758"/>
      <c r="N1136" s="758"/>
      <c r="O1136" s="758"/>
      <c r="P1136" s="758"/>
      <c r="Q1136" s="758"/>
      <c r="T1136" s="758"/>
      <c r="U1136" s="758"/>
      <c r="V1136" s="760"/>
      <c r="W1136" s="758"/>
      <c r="X1136" s="758"/>
    </row>
    <row r="1137" spans="1:24">
      <c r="A1137" s="755"/>
      <c r="B1137" s="755"/>
      <c r="C1137" s="756"/>
      <c r="D1137" s="755"/>
      <c r="E1137" s="755"/>
      <c r="F1137" s="756"/>
      <c r="G1137" s="755"/>
      <c r="H1137" s="755"/>
      <c r="I1137" s="757"/>
      <c r="J1137" s="755"/>
      <c r="K1137" s="756"/>
      <c r="L1137" s="758"/>
      <c r="M1137" s="758"/>
      <c r="N1137" s="758"/>
      <c r="O1137" s="758"/>
      <c r="P1137" s="758"/>
      <c r="Q1137" s="758"/>
      <c r="T1137" s="758"/>
      <c r="U1137" s="758"/>
      <c r="V1137" s="760"/>
      <c r="W1137" s="758"/>
      <c r="X1137" s="758"/>
    </row>
    <row r="1138" spans="1:24">
      <c r="A1138" s="755"/>
      <c r="B1138" s="755"/>
      <c r="C1138" s="756"/>
      <c r="D1138" s="755"/>
      <c r="E1138" s="755"/>
      <c r="F1138" s="756"/>
      <c r="G1138" s="755"/>
      <c r="H1138" s="755"/>
      <c r="I1138" s="757"/>
      <c r="J1138" s="755"/>
      <c r="K1138" s="756"/>
      <c r="L1138" s="758"/>
      <c r="M1138" s="758"/>
      <c r="N1138" s="758"/>
      <c r="O1138" s="758"/>
      <c r="P1138" s="758"/>
      <c r="Q1138" s="758"/>
      <c r="T1138" s="758"/>
      <c r="U1138" s="758"/>
      <c r="V1138" s="760"/>
      <c r="W1138" s="758"/>
      <c r="X1138" s="758"/>
    </row>
    <row r="1139" spans="1:24">
      <c r="A1139" s="755"/>
      <c r="B1139" s="755"/>
      <c r="C1139" s="756"/>
      <c r="D1139" s="755"/>
      <c r="E1139" s="755"/>
      <c r="F1139" s="756"/>
      <c r="G1139" s="755"/>
      <c r="H1139" s="755"/>
      <c r="I1139" s="757"/>
      <c r="J1139" s="755"/>
      <c r="K1139" s="756"/>
      <c r="L1139" s="758"/>
      <c r="M1139" s="758"/>
      <c r="N1139" s="758"/>
      <c r="O1139" s="758"/>
      <c r="P1139" s="758"/>
      <c r="Q1139" s="758"/>
      <c r="T1139" s="758"/>
      <c r="U1139" s="758"/>
      <c r="V1139" s="760"/>
      <c r="W1139" s="758"/>
      <c r="X1139" s="758"/>
    </row>
    <row r="1140" spans="1:24">
      <c r="A1140" s="755"/>
      <c r="B1140" s="755"/>
      <c r="C1140" s="756"/>
      <c r="D1140" s="755"/>
      <c r="E1140" s="755"/>
      <c r="F1140" s="756"/>
      <c r="G1140" s="755"/>
      <c r="H1140" s="755"/>
      <c r="I1140" s="757"/>
      <c r="J1140" s="755"/>
      <c r="K1140" s="756"/>
      <c r="L1140" s="758"/>
      <c r="M1140" s="758"/>
      <c r="N1140" s="758"/>
      <c r="O1140" s="758"/>
      <c r="P1140" s="758"/>
      <c r="Q1140" s="758"/>
      <c r="T1140" s="758"/>
      <c r="U1140" s="758"/>
      <c r="V1140" s="760"/>
      <c r="W1140" s="758"/>
      <c r="X1140" s="758"/>
    </row>
    <row r="1141" spans="1:24">
      <c r="A1141" s="755"/>
      <c r="B1141" s="755"/>
      <c r="C1141" s="756"/>
      <c r="D1141" s="755"/>
      <c r="E1141" s="755"/>
      <c r="F1141" s="756"/>
      <c r="G1141" s="755"/>
      <c r="H1141" s="755"/>
      <c r="I1141" s="757"/>
      <c r="J1141" s="755"/>
      <c r="K1141" s="756"/>
      <c r="L1141" s="758"/>
      <c r="M1141" s="758"/>
      <c r="N1141" s="758"/>
      <c r="O1141" s="758"/>
      <c r="P1141" s="758"/>
      <c r="Q1141" s="758"/>
      <c r="T1141" s="758"/>
      <c r="U1141" s="758"/>
      <c r="V1141" s="760"/>
      <c r="W1141" s="758"/>
      <c r="X1141" s="758"/>
    </row>
    <row r="1142" spans="1:24">
      <c r="A1142" s="755"/>
      <c r="B1142" s="755"/>
      <c r="C1142" s="756"/>
      <c r="D1142" s="755"/>
      <c r="E1142" s="755"/>
      <c r="F1142" s="756"/>
      <c r="G1142" s="755"/>
      <c r="H1142" s="755"/>
      <c r="I1142" s="757"/>
      <c r="J1142" s="755"/>
      <c r="K1142" s="756"/>
      <c r="L1142" s="758"/>
      <c r="M1142" s="758"/>
      <c r="N1142" s="758"/>
      <c r="O1142" s="758"/>
      <c r="P1142" s="758"/>
      <c r="Q1142" s="758"/>
      <c r="T1142" s="758"/>
      <c r="U1142" s="758"/>
      <c r="V1142" s="760"/>
      <c r="W1142" s="758"/>
      <c r="X1142" s="758"/>
    </row>
    <row r="1143" spans="1:24">
      <c r="A1143" s="755"/>
      <c r="B1143" s="755"/>
      <c r="C1143" s="756"/>
      <c r="D1143" s="755"/>
      <c r="E1143" s="755"/>
      <c r="F1143" s="756"/>
      <c r="G1143" s="755"/>
      <c r="H1143" s="755"/>
      <c r="I1143" s="757"/>
      <c r="J1143" s="755"/>
      <c r="K1143" s="756"/>
      <c r="L1143" s="758"/>
      <c r="M1143" s="758"/>
      <c r="N1143" s="758"/>
      <c r="O1143" s="758"/>
      <c r="P1143" s="758"/>
      <c r="Q1143" s="758"/>
      <c r="T1143" s="758"/>
      <c r="U1143" s="758"/>
      <c r="V1143" s="760"/>
      <c r="W1143" s="758"/>
      <c r="X1143" s="758"/>
    </row>
    <row r="1144" spans="1:24">
      <c r="A1144" s="755"/>
      <c r="B1144" s="755"/>
      <c r="C1144" s="756"/>
      <c r="D1144" s="755"/>
      <c r="E1144" s="755"/>
      <c r="F1144" s="756"/>
      <c r="G1144" s="755"/>
      <c r="H1144" s="755"/>
      <c r="I1144" s="757"/>
      <c r="J1144" s="755"/>
      <c r="K1144" s="756"/>
      <c r="L1144" s="758"/>
      <c r="M1144" s="758"/>
      <c r="N1144" s="758"/>
      <c r="O1144" s="758"/>
      <c r="P1144" s="758"/>
      <c r="Q1144" s="758"/>
      <c r="T1144" s="758"/>
      <c r="U1144" s="758"/>
      <c r="V1144" s="760"/>
      <c r="W1144" s="758"/>
      <c r="X1144" s="758"/>
    </row>
    <row r="1145" spans="1:24">
      <c r="A1145" s="755"/>
      <c r="B1145" s="755"/>
      <c r="C1145" s="756"/>
      <c r="D1145" s="755"/>
      <c r="E1145" s="755"/>
      <c r="F1145" s="756"/>
      <c r="G1145" s="755"/>
      <c r="H1145" s="755"/>
      <c r="I1145" s="757"/>
      <c r="J1145" s="755"/>
      <c r="K1145" s="756"/>
      <c r="L1145" s="758"/>
      <c r="M1145" s="758"/>
      <c r="N1145" s="758"/>
      <c r="O1145" s="758"/>
      <c r="P1145" s="758"/>
      <c r="Q1145" s="758"/>
      <c r="T1145" s="758"/>
      <c r="U1145" s="758"/>
      <c r="V1145" s="760"/>
      <c r="W1145" s="758"/>
      <c r="X1145" s="758"/>
    </row>
    <row r="1146" spans="1:24">
      <c r="A1146" s="755"/>
      <c r="B1146" s="755"/>
      <c r="C1146" s="756"/>
      <c r="D1146" s="755"/>
      <c r="E1146" s="755"/>
      <c r="F1146" s="756"/>
      <c r="G1146" s="755"/>
      <c r="H1146" s="755"/>
      <c r="I1146" s="757"/>
      <c r="J1146" s="755"/>
      <c r="K1146" s="756"/>
      <c r="L1146" s="758"/>
      <c r="M1146" s="758"/>
      <c r="N1146" s="758"/>
      <c r="O1146" s="758"/>
      <c r="P1146" s="758"/>
      <c r="Q1146" s="758"/>
      <c r="T1146" s="758"/>
      <c r="U1146" s="758"/>
      <c r="V1146" s="760"/>
      <c r="W1146" s="758"/>
      <c r="X1146" s="758"/>
    </row>
    <row r="1147" spans="1:24">
      <c r="A1147" s="755"/>
      <c r="B1147" s="755"/>
      <c r="C1147" s="756"/>
      <c r="D1147" s="755"/>
      <c r="E1147" s="755"/>
      <c r="F1147" s="756"/>
      <c r="G1147" s="755"/>
      <c r="H1147" s="755"/>
      <c r="I1147" s="757"/>
      <c r="J1147" s="755"/>
      <c r="K1147" s="756"/>
      <c r="L1147" s="758"/>
      <c r="M1147" s="758"/>
      <c r="N1147" s="758"/>
      <c r="O1147" s="758"/>
      <c r="P1147" s="758"/>
      <c r="Q1147" s="758"/>
      <c r="T1147" s="758"/>
      <c r="U1147" s="758"/>
      <c r="V1147" s="760"/>
      <c r="W1147" s="758"/>
      <c r="X1147" s="758"/>
    </row>
    <row r="1148" spans="1:24">
      <c r="A1148" s="755"/>
      <c r="B1148" s="755"/>
      <c r="C1148" s="756"/>
      <c r="D1148" s="755"/>
      <c r="E1148" s="755"/>
      <c r="F1148" s="756"/>
      <c r="G1148" s="755"/>
      <c r="H1148" s="755"/>
      <c r="I1148" s="757"/>
      <c r="J1148" s="755"/>
      <c r="K1148" s="756"/>
      <c r="L1148" s="758"/>
      <c r="M1148" s="758"/>
      <c r="N1148" s="758"/>
      <c r="O1148" s="758"/>
      <c r="P1148" s="758"/>
      <c r="Q1148" s="758"/>
      <c r="T1148" s="758"/>
      <c r="U1148" s="758"/>
      <c r="V1148" s="760"/>
      <c r="W1148" s="758"/>
      <c r="X1148" s="758"/>
    </row>
    <row r="1149" spans="1:24">
      <c r="A1149" s="755"/>
      <c r="B1149" s="755"/>
      <c r="C1149" s="756"/>
      <c r="D1149" s="755"/>
      <c r="E1149" s="755"/>
      <c r="F1149" s="756"/>
      <c r="G1149" s="755"/>
      <c r="H1149" s="755"/>
      <c r="I1149" s="757"/>
      <c r="J1149" s="755"/>
      <c r="K1149" s="756"/>
      <c r="L1149" s="758"/>
      <c r="M1149" s="758"/>
      <c r="N1149" s="758"/>
      <c r="O1149" s="758"/>
      <c r="P1149" s="758"/>
      <c r="Q1149" s="758"/>
      <c r="T1149" s="758"/>
      <c r="U1149" s="758"/>
      <c r="V1149" s="760"/>
      <c r="W1149" s="758"/>
      <c r="X1149" s="758"/>
    </row>
    <row r="1150" spans="1:24">
      <c r="A1150" s="755"/>
      <c r="B1150" s="755"/>
      <c r="C1150" s="756"/>
      <c r="D1150" s="755"/>
      <c r="E1150" s="755"/>
      <c r="F1150" s="756"/>
      <c r="G1150" s="755"/>
      <c r="H1150" s="755"/>
      <c r="I1150" s="757"/>
      <c r="J1150" s="755"/>
      <c r="K1150" s="756"/>
      <c r="L1150" s="758"/>
      <c r="M1150" s="758"/>
      <c r="N1150" s="758"/>
      <c r="O1150" s="758"/>
      <c r="P1150" s="758"/>
      <c r="Q1150" s="758"/>
      <c r="T1150" s="758"/>
      <c r="U1150" s="758"/>
      <c r="V1150" s="760"/>
      <c r="W1150" s="758"/>
      <c r="X1150" s="758"/>
    </row>
    <row r="1151" spans="1:24">
      <c r="A1151" s="755"/>
      <c r="B1151" s="755"/>
      <c r="C1151" s="756"/>
      <c r="D1151" s="755"/>
      <c r="E1151" s="755"/>
      <c r="F1151" s="756"/>
      <c r="G1151" s="755"/>
      <c r="H1151" s="755"/>
      <c r="I1151" s="757"/>
      <c r="J1151" s="755"/>
      <c r="K1151" s="756"/>
      <c r="L1151" s="758"/>
      <c r="M1151" s="758"/>
      <c r="N1151" s="758"/>
      <c r="O1151" s="758"/>
      <c r="P1151" s="758"/>
      <c r="Q1151" s="758"/>
      <c r="T1151" s="758"/>
      <c r="U1151" s="758"/>
      <c r="V1151" s="760"/>
      <c r="W1151" s="758"/>
      <c r="X1151" s="758"/>
    </row>
    <row r="1152" spans="1:24">
      <c r="A1152" s="755"/>
      <c r="B1152" s="755"/>
      <c r="C1152" s="756"/>
      <c r="D1152" s="755"/>
      <c r="E1152" s="755"/>
      <c r="F1152" s="756"/>
      <c r="G1152" s="755"/>
      <c r="H1152" s="755"/>
      <c r="I1152" s="757"/>
      <c r="J1152" s="755"/>
      <c r="K1152" s="756"/>
      <c r="L1152" s="758"/>
      <c r="M1152" s="758"/>
      <c r="N1152" s="758"/>
      <c r="O1152" s="758"/>
      <c r="P1152" s="758"/>
      <c r="Q1152" s="758"/>
      <c r="T1152" s="758"/>
      <c r="U1152" s="758"/>
      <c r="V1152" s="760"/>
      <c r="W1152" s="758"/>
      <c r="X1152" s="758"/>
    </row>
    <row r="1153" spans="1:24">
      <c r="A1153" s="755"/>
      <c r="B1153" s="755"/>
      <c r="C1153" s="756"/>
      <c r="D1153" s="755"/>
      <c r="E1153" s="755"/>
      <c r="F1153" s="756"/>
      <c r="G1153" s="755"/>
      <c r="H1153" s="755"/>
      <c r="I1153" s="757"/>
      <c r="J1153" s="755"/>
      <c r="K1153" s="756"/>
      <c r="L1153" s="758"/>
      <c r="M1153" s="758"/>
      <c r="N1153" s="758"/>
      <c r="O1153" s="758"/>
      <c r="P1153" s="758"/>
      <c r="Q1153" s="758"/>
      <c r="T1153" s="758"/>
      <c r="U1153" s="758"/>
      <c r="V1153" s="760"/>
      <c r="W1153" s="758"/>
      <c r="X1153" s="758"/>
    </row>
    <row r="1154" spans="1:24">
      <c r="A1154" s="755"/>
      <c r="B1154" s="755"/>
      <c r="C1154" s="756"/>
      <c r="D1154" s="755"/>
      <c r="E1154" s="755"/>
      <c r="F1154" s="756"/>
      <c r="G1154" s="755"/>
      <c r="H1154" s="755"/>
      <c r="I1154" s="757"/>
      <c r="J1154" s="755"/>
      <c r="K1154" s="756"/>
      <c r="L1154" s="758"/>
      <c r="M1154" s="758"/>
      <c r="N1154" s="758"/>
      <c r="O1154" s="758"/>
      <c r="P1154" s="758"/>
      <c r="Q1154" s="758"/>
      <c r="T1154" s="758"/>
      <c r="U1154" s="758"/>
      <c r="V1154" s="760"/>
      <c r="W1154" s="758"/>
      <c r="X1154" s="758"/>
    </row>
    <row r="1155" spans="1:24">
      <c r="A1155" s="755"/>
      <c r="B1155" s="755"/>
      <c r="C1155" s="756"/>
      <c r="D1155" s="755"/>
      <c r="E1155" s="755"/>
      <c r="F1155" s="756"/>
      <c r="G1155" s="755"/>
      <c r="H1155" s="755"/>
      <c r="I1155" s="757"/>
      <c r="J1155" s="755"/>
      <c r="K1155" s="756"/>
      <c r="L1155" s="758"/>
      <c r="M1155" s="758"/>
      <c r="N1155" s="758"/>
      <c r="O1155" s="758"/>
      <c r="P1155" s="758"/>
      <c r="Q1155" s="758"/>
      <c r="T1155" s="758"/>
      <c r="U1155" s="758"/>
      <c r="V1155" s="760"/>
      <c r="W1155" s="758"/>
      <c r="X1155" s="758"/>
    </row>
    <row r="1156" spans="1:24">
      <c r="A1156" s="755"/>
      <c r="B1156" s="755"/>
      <c r="C1156" s="756"/>
      <c r="D1156" s="755"/>
      <c r="E1156" s="755"/>
      <c r="F1156" s="756"/>
      <c r="G1156" s="755"/>
      <c r="H1156" s="755"/>
      <c r="I1156" s="757"/>
      <c r="J1156" s="755"/>
      <c r="K1156" s="756"/>
      <c r="L1156" s="758"/>
      <c r="M1156" s="758"/>
      <c r="N1156" s="758"/>
      <c r="O1156" s="758"/>
      <c r="P1156" s="758"/>
      <c r="Q1156" s="758"/>
      <c r="T1156" s="758"/>
      <c r="U1156" s="758"/>
      <c r="V1156" s="760"/>
      <c r="W1156" s="758"/>
      <c r="X1156" s="758"/>
    </row>
    <row r="1157" spans="1:24">
      <c r="A1157" s="755"/>
      <c r="B1157" s="755"/>
      <c r="C1157" s="756"/>
      <c r="D1157" s="755"/>
      <c r="E1157" s="755"/>
      <c r="F1157" s="756"/>
      <c r="G1157" s="755"/>
      <c r="H1157" s="755"/>
      <c r="I1157" s="757"/>
      <c r="J1157" s="755"/>
      <c r="K1157" s="756"/>
      <c r="L1157" s="758"/>
      <c r="M1157" s="758"/>
      <c r="N1157" s="758"/>
      <c r="O1157" s="758"/>
      <c r="P1157" s="758"/>
      <c r="Q1157" s="758"/>
      <c r="T1157" s="758"/>
      <c r="U1157" s="758"/>
      <c r="V1157" s="760"/>
      <c r="W1157" s="758"/>
      <c r="X1157" s="758"/>
    </row>
    <row r="1158" spans="1:24">
      <c r="A1158" s="755"/>
      <c r="B1158" s="755"/>
      <c r="C1158" s="756"/>
      <c r="D1158" s="755"/>
      <c r="E1158" s="755"/>
      <c r="F1158" s="756"/>
      <c r="G1158" s="755"/>
      <c r="H1158" s="755"/>
      <c r="I1158" s="757"/>
      <c r="J1158" s="755"/>
      <c r="K1158" s="756"/>
      <c r="L1158" s="758"/>
      <c r="M1158" s="758"/>
      <c r="N1158" s="758"/>
      <c r="O1158" s="758"/>
      <c r="P1158" s="758"/>
      <c r="Q1158" s="758"/>
      <c r="T1158" s="758"/>
      <c r="U1158" s="758"/>
      <c r="V1158" s="760"/>
      <c r="W1158" s="758"/>
      <c r="X1158" s="758"/>
    </row>
    <row r="1159" spans="1:24">
      <c r="A1159" s="755"/>
      <c r="B1159" s="755"/>
      <c r="C1159" s="756"/>
      <c r="D1159" s="755"/>
      <c r="E1159" s="755"/>
      <c r="F1159" s="756"/>
      <c r="G1159" s="755"/>
      <c r="H1159" s="755"/>
      <c r="I1159" s="757"/>
      <c r="J1159" s="755"/>
      <c r="K1159" s="756"/>
      <c r="L1159" s="758"/>
      <c r="M1159" s="758"/>
      <c r="N1159" s="758"/>
      <c r="O1159" s="758"/>
      <c r="P1159" s="758"/>
      <c r="Q1159" s="758"/>
      <c r="T1159" s="758"/>
      <c r="U1159" s="758"/>
      <c r="V1159" s="760"/>
      <c r="W1159" s="758"/>
      <c r="X1159" s="758"/>
    </row>
    <row r="1160" spans="1:24">
      <c r="A1160" s="755"/>
      <c r="B1160" s="755"/>
      <c r="C1160" s="756"/>
      <c r="D1160" s="755"/>
      <c r="E1160" s="755"/>
      <c r="F1160" s="756"/>
      <c r="G1160" s="755"/>
      <c r="H1160" s="755"/>
      <c r="I1160" s="757"/>
      <c r="J1160" s="755"/>
      <c r="K1160" s="756"/>
      <c r="L1160" s="758"/>
      <c r="M1160" s="758"/>
      <c r="N1160" s="758"/>
      <c r="O1160" s="758"/>
      <c r="P1160" s="758"/>
      <c r="Q1160" s="758"/>
      <c r="T1160" s="758"/>
      <c r="U1160" s="758"/>
      <c r="V1160" s="760"/>
      <c r="W1160" s="758"/>
      <c r="X1160" s="758"/>
    </row>
    <row r="1161" spans="1:24">
      <c r="A1161" s="755"/>
      <c r="B1161" s="755"/>
      <c r="C1161" s="756"/>
      <c r="D1161" s="755"/>
      <c r="E1161" s="755"/>
      <c r="F1161" s="756"/>
      <c r="G1161" s="755"/>
      <c r="H1161" s="755"/>
      <c r="I1161" s="757"/>
      <c r="J1161" s="755"/>
      <c r="K1161" s="756"/>
      <c r="L1161" s="758"/>
      <c r="M1161" s="758"/>
      <c r="N1161" s="758"/>
      <c r="O1161" s="758"/>
      <c r="P1161" s="758"/>
      <c r="Q1161" s="758"/>
      <c r="T1161" s="758"/>
      <c r="U1161" s="758"/>
      <c r="V1161" s="760"/>
      <c r="W1161" s="758"/>
      <c r="X1161" s="758"/>
    </row>
    <row r="1162" spans="1:24">
      <c r="A1162" s="755"/>
      <c r="B1162" s="755"/>
      <c r="C1162" s="756"/>
      <c r="D1162" s="755"/>
      <c r="E1162" s="755"/>
      <c r="F1162" s="756"/>
      <c r="G1162" s="755"/>
      <c r="H1162" s="755"/>
      <c r="I1162" s="757"/>
      <c r="J1162" s="755"/>
      <c r="K1162" s="756"/>
      <c r="L1162" s="758"/>
      <c r="M1162" s="758"/>
      <c r="N1162" s="758"/>
      <c r="O1162" s="758"/>
      <c r="P1162" s="758"/>
      <c r="Q1162" s="758"/>
      <c r="T1162" s="758"/>
      <c r="U1162" s="758"/>
      <c r="V1162" s="760"/>
      <c r="W1162" s="758"/>
      <c r="X1162" s="758"/>
    </row>
    <row r="1163" spans="1:24">
      <c r="A1163" s="755"/>
      <c r="B1163" s="755"/>
      <c r="C1163" s="756"/>
      <c r="D1163" s="755"/>
      <c r="E1163" s="755"/>
      <c r="F1163" s="756"/>
      <c r="G1163" s="755"/>
      <c r="H1163" s="755"/>
      <c r="I1163" s="757"/>
      <c r="J1163" s="755"/>
      <c r="K1163" s="756"/>
      <c r="L1163" s="758"/>
      <c r="M1163" s="758"/>
      <c r="N1163" s="758"/>
      <c r="O1163" s="758"/>
      <c r="P1163" s="758"/>
      <c r="Q1163" s="758"/>
      <c r="T1163" s="758"/>
      <c r="U1163" s="758"/>
      <c r="V1163" s="760"/>
      <c r="W1163" s="758"/>
      <c r="X1163" s="758"/>
    </row>
    <row r="1164" spans="1:24">
      <c r="A1164" s="755"/>
      <c r="B1164" s="755"/>
      <c r="C1164" s="756"/>
      <c r="D1164" s="755"/>
      <c r="E1164" s="755"/>
      <c r="F1164" s="756"/>
      <c r="G1164" s="755"/>
      <c r="H1164" s="755"/>
      <c r="I1164" s="757"/>
      <c r="J1164" s="755"/>
      <c r="K1164" s="756"/>
      <c r="L1164" s="758"/>
      <c r="M1164" s="758"/>
      <c r="N1164" s="758"/>
      <c r="O1164" s="758"/>
      <c r="P1164" s="758"/>
      <c r="Q1164" s="758"/>
      <c r="T1164" s="758"/>
      <c r="U1164" s="758"/>
      <c r="V1164" s="760"/>
      <c r="W1164" s="758"/>
      <c r="X1164" s="758"/>
    </row>
    <row r="1165" spans="1:24">
      <c r="A1165" s="755"/>
      <c r="B1165" s="755"/>
      <c r="C1165" s="756"/>
      <c r="D1165" s="755"/>
      <c r="E1165" s="755"/>
      <c r="F1165" s="756"/>
      <c r="G1165" s="755"/>
      <c r="H1165" s="755"/>
      <c r="I1165" s="757"/>
      <c r="J1165" s="755"/>
      <c r="K1165" s="756"/>
      <c r="L1165" s="758"/>
      <c r="M1165" s="758"/>
      <c r="N1165" s="758"/>
      <c r="O1165" s="758"/>
      <c r="P1165" s="758"/>
      <c r="Q1165" s="758"/>
      <c r="T1165" s="758"/>
      <c r="U1165" s="758"/>
      <c r="V1165" s="760"/>
      <c r="W1165" s="758"/>
      <c r="X1165" s="758"/>
    </row>
    <row r="1166" spans="1:24">
      <c r="A1166" s="755"/>
      <c r="B1166" s="755"/>
      <c r="C1166" s="756"/>
      <c r="D1166" s="755"/>
      <c r="E1166" s="755"/>
      <c r="F1166" s="756"/>
      <c r="G1166" s="755"/>
      <c r="H1166" s="755"/>
      <c r="I1166" s="757"/>
      <c r="J1166" s="755"/>
      <c r="K1166" s="756"/>
      <c r="L1166" s="758"/>
      <c r="M1166" s="758"/>
      <c r="N1166" s="758"/>
      <c r="O1166" s="758"/>
      <c r="P1166" s="758"/>
      <c r="Q1166" s="758"/>
      <c r="T1166" s="758"/>
      <c r="U1166" s="758"/>
      <c r="V1166" s="760"/>
      <c r="W1166" s="758"/>
      <c r="X1166" s="758"/>
    </row>
    <row r="1167" spans="1:24">
      <c r="A1167" s="755"/>
      <c r="B1167" s="755"/>
      <c r="C1167" s="756"/>
      <c r="D1167" s="755"/>
      <c r="E1167" s="755"/>
      <c r="F1167" s="756"/>
      <c r="G1167" s="755"/>
      <c r="H1167" s="755"/>
      <c r="I1167" s="757"/>
      <c r="J1167" s="755"/>
      <c r="K1167" s="756"/>
      <c r="L1167" s="758"/>
      <c r="M1167" s="758"/>
      <c r="N1167" s="758"/>
      <c r="O1167" s="758"/>
      <c r="P1167" s="758"/>
      <c r="Q1167" s="758"/>
      <c r="T1167" s="758"/>
      <c r="U1167" s="758"/>
      <c r="V1167" s="760"/>
      <c r="W1167" s="758"/>
      <c r="X1167" s="758"/>
    </row>
    <row r="1168" spans="1:24">
      <c r="A1168" s="755"/>
      <c r="B1168" s="755"/>
      <c r="C1168" s="756"/>
      <c r="D1168" s="755"/>
      <c r="E1168" s="755"/>
      <c r="F1168" s="756"/>
      <c r="G1168" s="755"/>
      <c r="H1168" s="755"/>
      <c r="I1168" s="757"/>
      <c r="J1168" s="755"/>
      <c r="K1168" s="756"/>
      <c r="L1168" s="758"/>
      <c r="M1168" s="758"/>
      <c r="N1168" s="758"/>
      <c r="O1168" s="758"/>
      <c r="P1168" s="758"/>
      <c r="Q1168" s="758"/>
      <c r="T1168" s="758"/>
      <c r="U1168" s="758"/>
      <c r="V1168" s="760"/>
      <c r="W1168" s="758"/>
      <c r="X1168" s="758"/>
    </row>
    <row r="1169" spans="1:24">
      <c r="A1169" s="755"/>
      <c r="B1169" s="755"/>
      <c r="C1169" s="756"/>
      <c r="D1169" s="755"/>
      <c r="E1169" s="755"/>
      <c r="F1169" s="756"/>
      <c r="G1169" s="755"/>
      <c r="H1169" s="755"/>
      <c r="I1169" s="757"/>
      <c r="J1169" s="755"/>
      <c r="K1169" s="756"/>
      <c r="L1169" s="758"/>
      <c r="M1169" s="758"/>
      <c r="N1169" s="758"/>
      <c r="O1169" s="758"/>
      <c r="P1169" s="758"/>
      <c r="Q1169" s="758"/>
      <c r="T1169" s="758"/>
      <c r="U1169" s="758"/>
      <c r="V1169" s="760"/>
      <c r="W1169" s="758"/>
      <c r="X1169" s="758"/>
    </row>
    <row r="1170" spans="1:24">
      <c r="A1170" s="755"/>
      <c r="B1170" s="755"/>
      <c r="C1170" s="756"/>
      <c r="D1170" s="755"/>
      <c r="E1170" s="755"/>
      <c r="F1170" s="756"/>
      <c r="G1170" s="755"/>
      <c r="H1170" s="755"/>
      <c r="I1170" s="757"/>
      <c r="J1170" s="755"/>
      <c r="K1170" s="756"/>
      <c r="L1170" s="758"/>
      <c r="M1170" s="758"/>
      <c r="N1170" s="758"/>
      <c r="O1170" s="758"/>
      <c r="P1170" s="758"/>
      <c r="Q1170" s="758"/>
      <c r="T1170" s="758"/>
      <c r="U1170" s="758"/>
      <c r="V1170" s="760"/>
      <c r="W1170" s="758"/>
      <c r="X1170" s="758"/>
    </row>
    <row r="1171" spans="1:24">
      <c r="A1171" s="755"/>
      <c r="B1171" s="755"/>
      <c r="C1171" s="756"/>
      <c r="D1171" s="755"/>
      <c r="E1171" s="755"/>
      <c r="F1171" s="756"/>
      <c r="G1171" s="755"/>
      <c r="H1171" s="755"/>
      <c r="I1171" s="757"/>
      <c r="J1171" s="755"/>
      <c r="K1171" s="756"/>
      <c r="L1171" s="758"/>
      <c r="M1171" s="758"/>
      <c r="N1171" s="758"/>
      <c r="O1171" s="758"/>
      <c r="P1171" s="758"/>
      <c r="Q1171" s="758"/>
      <c r="T1171" s="758"/>
      <c r="U1171" s="758"/>
      <c r="V1171" s="760"/>
      <c r="W1171" s="758"/>
      <c r="X1171" s="758"/>
    </row>
    <row r="1172" spans="1:24">
      <c r="A1172" s="755"/>
      <c r="B1172" s="755"/>
      <c r="C1172" s="756"/>
      <c r="D1172" s="755"/>
      <c r="E1172" s="755"/>
      <c r="F1172" s="756"/>
      <c r="G1172" s="755"/>
      <c r="H1172" s="755"/>
      <c r="I1172" s="757"/>
      <c r="J1172" s="755"/>
      <c r="K1172" s="756"/>
      <c r="L1172" s="758"/>
      <c r="M1172" s="758"/>
      <c r="N1172" s="758"/>
      <c r="O1172" s="758"/>
      <c r="P1172" s="758"/>
      <c r="Q1172" s="758"/>
      <c r="T1172" s="758"/>
      <c r="U1172" s="758"/>
      <c r="V1172" s="760"/>
      <c r="W1172" s="758"/>
      <c r="X1172" s="758"/>
    </row>
    <row r="1173" spans="1:24">
      <c r="A1173" s="755"/>
      <c r="B1173" s="755"/>
      <c r="C1173" s="756"/>
      <c r="D1173" s="755"/>
      <c r="E1173" s="755"/>
      <c r="F1173" s="756"/>
      <c r="G1173" s="755"/>
      <c r="H1173" s="755"/>
      <c r="I1173" s="757"/>
      <c r="J1173" s="755"/>
      <c r="K1173" s="756"/>
      <c r="L1173" s="758"/>
      <c r="M1173" s="758"/>
      <c r="N1173" s="758"/>
      <c r="O1173" s="758"/>
      <c r="P1173" s="758"/>
      <c r="Q1173" s="758"/>
      <c r="T1173" s="758"/>
      <c r="U1173" s="758"/>
      <c r="V1173" s="760"/>
      <c r="W1173" s="758"/>
      <c r="X1173" s="758"/>
    </row>
    <row r="1174" spans="1:24">
      <c r="A1174" s="755"/>
      <c r="B1174" s="755"/>
      <c r="C1174" s="756"/>
      <c r="D1174" s="755"/>
      <c r="E1174" s="755"/>
      <c r="F1174" s="756"/>
      <c r="G1174" s="755"/>
      <c r="H1174" s="755"/>
      <c r="I1174" s="757"/>
      <c r="J1174" s="755"/>
      <c r="K1174" s="756"/>
      <c r="L1174" s="758"/>
      <c r="M1174" s="758"/>
      <c r="N1174" s="758"/>
      <c r="O1174" s="758"/>
      <c r="P1174" s="758"/>
      <c r="Q1174" s="758"/>
      <c r="T1174" s="758"/>
      <c r="U1174" s="758"/>
      <c r="V1174" s="760"/>
      <c r="W1174" s="758"/>
      <c r="X1174" s="758"/>
    </row>
    <row r="1175" spans="1:24">
      <c r="A1175" s="755"/>
      <c r="B1175" s="755"/>
      <c r="C1175" s="756"/>
      <c r="D1175" s="755"/>
      <c r="E1175" s="755"/>
      <c r="F1175" s="756"/>
      <c r="G1175" s="755"/>
      <c r="H1175" s="755"/>
      <c r="I1175" s="757"/>
      <c r="J1175" s="755"/>
      <c r="K1175" s="756"/>
      <c r="L1175" s="758"/>
      <c r="M1175" s="758"/>
      <c r="N1175" s="758"/>
      <c r="O1175" s="758"/>
      <c r="P1175" s="758"/>
      <c r="Q1175" s="758"/>
      <c r="T1175" s="758"/>
      <c r="U1175" s="758"/>
      <c r="V1175" s="760"/>
      <c r="W1175" s="758"/>
      <c r="X1175" s="758"/>
    </row>
    <row r="1176" spans="1:24">
      <c r="A1176" s="755"/>
      <c r="B1176" s="755"/>
      <c r="C1176" s="756"/>
      <c r="D1176" s="755"/>
      <c r="E1176" s="755"/>
      <c r="F1176" s="756"/>
      <c r="G1176" s="755"/>
      <c r="H1176" s="755"/>
      <c r="I1176" s="757"/>
      <c r="J1176" s="755"/>
      <c r="K1176" s="756"/>
      <c r="L1176" s="758"/>
      <c r="M1176" s="758"/>
      <c r="N1176" s="758"/>
      <c r="O1176" s="758"/>
      <c r="P1176" s="758"/>
      <c r="Q1176" s="758"/>
      <c r="T1176" s="758"/>
      <c r="U1176" s="758"/>
      <c r="V1176" s="760"/>
      <c r="W1176" s="758"/>
      <c r="X1176" s="758"/>
    </row>
    <row r="1177" spans="1:24">
      <c r="A1177" s="755"/>
      <c r="B1177" s="755"/>
      <c r="C1177" s="756"/>
      <c r="D1177" s="755"/>
      <c r="E1177" s="755"/>
      <c r="F1177" s="756"/>
      <c r="G1177" s="755"/>
      <c r="H1177" s="755"/>
      <c r="I1177" s="757"/>
      <c r="J1177" s="755"/>
      <c r="K1177" s="756"/>
      <c r="L1177" s="758"/>
      <c r="M1177" s="758"/>
      <c r="N1177" s="758"/>
      <c r="O1177" s="758"/>
      <c r="P1177" s="758"/>
      <c r="Q1177" s="758"/>
      <c r="T1177" s="758"/>
      <c r="U1177" s="758"/>
      <c r="V1177" s="760"/>
      <c r="W1177" s="758"/>
      <c r="X1177" s="758"/>
    </row>
    <row r="1178" spans="1:24">
      <c r="A1178" s="755"/>
      <c r="B1178" s="755"/>
      <c r="C1178" s="756"/>
      <c r="D1178" s="755"/>
      <c r="E1178" s="755"/>
      <c r="F1178" s="756"/>
      <c r="G1178" s="755"/>
      <c r="H1178" s="755"/>
      <c r="I1178" s="757"/>
      <c r="J1178" s="755"/>
      <c r="K1178" s="756"/>
      <c r="L1178" s="758"/>
      <c r="M1178" s="758"/>
      <c r="N1178" s="758"/>
      <c r="O1178" s="758"/>
      <c r="P1178" s="758"/>
      <c r="Q1178" s="758"/>
      <c r="T1178" s="758"/>
      <c r="U1178" s="758"/>
      <c r="V1178" s="760"/>
      <c r="W1178" s="758"/>
      <c r="X1178" s="758"/>
    </row>
    <row r="1179" spans="1:24">
      <c r="A1179" s="755"/>
      <c r="B1179" s="755"/>
      <c r="C1179" s="756"/>
      <c r="D1179" s="755"/>
      <c r="E1179" s="755"/>
      <c r="F1179" s="756"/>
      <c r="G1179" s="755"/>
      <c r="H1179" s="755"/>
      <c r="I1179" s="757"/>
      <c r="J1179" s="755"/>
      <c r="K1179" s="756"/>
      <c r="L1179" s="758"/>
      <c r="M1179" s="758"/>
      <c r="N1179" s="758"/>
      <c r="O1179" s="758"/>
      <c r="P1179" s="758"/>
      <c r="Q1179" s="758"/>
      <c r="T1179" s="758"/>
      <c r="U1179" s="758"/>
      <c r="V1179" s="760"/>
      <c r="W1179" s="758"/>
      <c r="X1179" s="758"/>
    </row>
    <row r="1180" spans="1:24">
      <c r="A1180" s="755"/>
      <c r="B1180" s="755"/>
      <c r="C1180" s="756"/>
      <c r="D1180" s="755"/>
      <c r="E1180" s="755"/>
      <c r="F1180" s="756"/>
      <c r="G1180" s="755"/>
      <c r="H1180" s="755"/>
      <c r="I1180" s="757"/>
      <c r="J1180" s="755"/>
      <c r="K1180" s="756"/>
      <c r="L1180" s="758"/>
      <c r="M1180" s="758"/>
      <c r="N1180" s="758"/>
      <c r="O1180" s="758"/>
      <c r="P1180" s="758"/>
      <c r="Q1180" s="758"/>
      <c r="T1180" s="758"/>
      <c r="U1180" s="758"/>
      <c r="V1180" s="760"/>
      <c r="W1180" s="758"/>
      <c r="X1180" s="758"/>
    </row>
    <row r="1181" spans="1:24">
      <c r="A1181" s="755"/>
      <c r="B1181" s="755"/>
      <c r="C1181" s="756"/>
      <c r="D1181" s="755"/>
      <c r="E1181" s="755"/>
      <c r="F1181" s="756"/>
      <c r="G1181" s="755"/>
      <c r="H1181" s="755"/>
      <c r="I1181" s="757"/>
      <c r="J1181" s="755"/>
      <c r="K1181" s="756"/>
      <c r="L1181" s="758"/>
      <c r="M1181" s="758"/>
      <c r="N1181" s="758"/>
      <c r="O1181" s="758"/>
      <c r="P1181" s="758"/>
      <c r="Q1181" s="758"/>
      <c r="T1181" s="758"/>
      <c r="U1181" s="758"/>
      <c r="V1181" s="760"/>
      <c r="W1181" s="758"/>
      <c r="X1181" s="758"/>
    </row>
    <row r="1182" spans="1:24">
      <c r="A1182" s="755"/>
      <c r="B1182" s="755"/>
      <c r="C1182" s="756"/>
      <c r="D1182" s="755"/>
      <c r="E1182" s="755"/>
      <c r="F1182" s="756"/>
      <c r="G1182" s="755"/>
      <c r="H1182" s="755"/>
      <c r="I1182" s="757"/>
      <c r="J1182" s="755"/>
      <c r="K1182" s="756"/>
      <c r="L1182" s="758"/>
      <c r="M1182" s="758"/>
      <c r="N1182" s="758"/>
      <c r="O1182" s="758"/>
      <c r="P1182" s="758"/>
      <c r="Q1182" s="758"/>
      <c r="T1182" s="758"/>
      <c r="U1182" s="758"/>
      <c r="V1182" s="760"/>
      <c r="W1182" s="758"/>
      <c r="X1182" s="758"/>
    </row>
    <row r="1183" spans="1:24">
      <c r="A1183" s="755"/>
      <c r="B1183" s="755"/>
      <c r="C1183" s="756"/>
      <c r="D1183" s="755"/>
      <c r="E1183" s="755"/>
      <c r="F1183" s="756"/>
      <c r="G1183" s="755"/>
      <c r="H1183" s="755"/>
      <c r="I1183" s="757"/>
      <c r="J1183" s="755"/>
      <c r="K1183" s="756"/>
      <c r="L1183" s="758"/>
      <c r="M1183" s="758"/>
      <c r="N1183" s="758"/>
      <c r="O1183" s="758"/>
      <c r="P1183" s="758"/>
      <c r="Q1183" s="758"/>
      <c r="T1183" s="758"/>
      <c r="U1183" s="758"/>
      <c r="V1183" s="760"/>
      <c r="W1183" s="758"/>
      <c r="X1183" s="758"/>
    </row>
    <row r="1184" spans="1:24">
      <c r="A1184" s="755"/>
      <c r="B1184" s="755"/>
      <c r="C1184" s="756"/>
      <c r="D1184" s="755"/>
      <c r="E1184" s="755"/>
      <c r="F1184" s="756"/>
      <c r="G1184" s="755"/>
      <c r="H1184" s="755"/>
      <c r="I1184" s="757"/>
      <c r="J1184" s="755"/>
      <c r="K1184" s="756"/>
      <c r="L1184" s="758"/>
      <c r="M1184" s="758"/>
      <c r="N1184" s="758"/>
      <c r="O1184" s="758"/>
      <c r="P1184" s="758"/>
      <c r="Q1184" s="758"/>
      <c r="T1184" s="758"/>
      <c r="U1184" s="758"/>
      <c r="V1184" s="760"/>
      <c r="W1184" s="758"/>
      <c r="X1184" s="758"/>
    </row>
    <row r="1185" spans="1:24">
      <c r="A1185" s="755"/>
      <c r="B1185" s="755"/>
      <c r="C1185" s="756"/>
      <c r="D1185" s="755"/>
      <c r="E1185" s="755"/>
      <c r="F1185" s="756"/>
      <c r="G1185" s="755"/>
      <c r="H1185" s="755"/>
      <c r="I1185" s="757"/>
      <c r="J1185" s="755"/>
      <c r="K1185" s="756"/>
      <c r="L1185" s="758"/>
      <c r="M1185" s="758"/>
      <c r="N1185" s="758"/>
      <c r="O1185" s="758"/>
      <c r="P1185" s="758"/>
      <c r="Q1185" s="758"/>
      <c r="T1185" s="758"/>
      <c r="U1185" s="758"/>
      <c r="V1185" s="760"/>
      <c r="W1185" s="758"/>
      <c r="X1185" s="758"/>
    </row>
    <row r="1186" spans="1:24">
      <c r="A1186" s="755"/>
      <c r="B1186" s="755"/>
      <c r="C1186" s="756"/>
      <c r="D1186" s="755"/>
      <c r="E1186" s="755"/>
      <c r="F1186" s="756"/>
      <c r="G1186" s="755"/>
      <c r="H1186" s="755"/>
      <c r="I1186" s="757"/>
      <c r="J1186" s="755"/>
      <c r="K1186" s="756"/>
      <c r="L1186" s="758"/>
      <c r="M1186" s="758"/>
      <c r="N1186" s="758"/>
      <c r="O1186" s="758"/>
      <c r="P1186" s="758"/>
      <c r="Q1186" s="758"/>
      <c r="T1186" s="758"/>
      <c r="U1186" s="758"/>
      <c r="V1186" s="760"/>
      <c r="W1186" s="758"/>
      <c r="X1186" s="758"/>
    </row>
    <row r="1187" spans="1:24">
      <c r="A1187" s="755"/>
      <c r="B1187" s="755"/>
      <c r="C1187" s="756"/>
      <c r="D1187" s="755"/>
      <c r="E1187" s="755"/>
      <c r="F1187" s="756"/>
      <c r="G1187" s="755"/>
      <c r="H1187" s="755"/>
      <c r="I1187" s="757"/>
      <c r="J1187" s="755"/>
      <c r="K1187" s="756"/>
      <c r="L1187" s="758"/>
      <c r="M1187" s="758"/>
      <c r="N1187" s="758"/>
      <c r="O1187" s="758"/>
      <c r="P1187" s="758"/>
      <c r="Q1187" s="758"/>
      <c r="T1187" s="758"/>
      <c r="U1187" s="758"/>
      <c r="V1187" s="760"/>
      <c r="W1187" s="758"/>
      <c r="X1187" s="758"/>
    </row>
    <row r="1188" spans="1:24">
      <c r="A1188" s="755"/>
      <c r="B1188" s="755"/>
      <c r="C1188" s="756"/>
      <c r="D1188" s="755"/>
      <c r="E1188" s="755"/>
      <c r="F1188" s="756"/>
      <c r="G1188" s="755"/>
      <c r="H1188" s="755"/>
      <c r="I1188" s="757"/>
      <c r="J1188" s="755"/>
      <c r="K1188" s="756"/>
      <c r="L1188" s="758"/>
      <c r="M1188" s="758"/>
      <c r="N1188" s="758"/>
      <c r="O1188" s="758"/>
      <c r="P1188" s="758"/>
      <c r="Q1188" s="758"/>
      <c r="T1188" s="758"/>
      <c r="U1188" s="758"/>
      <c r="V1188" s="760"/>
      <c r="W1188" s="758"/>
      <c r="X1188" s="758"/>
    </row>
    <row r="1189" spans="1:24">
      <c r="A1189" s="755"/>
      <c r="B1189" s="755"/>
      <c r="C1189" s="756"/>
      <c r="D1189" s="755"/>
      <c r="E1189" s="755"/>
      <c r="F1189" s="756"/>
      <c r="G1189" s="755"/>
      <c r="H1189" s="755"/>
      <c r="I1189" s="757"/>
      <c r="J1189" s="755"/>
      <c r="K1189" s="756"/>
      <c r="L1189" s="758"/>
      <c r="M1189" s="758"/>
      <c r="N1189" s="758"/>
      <c r="O1189" s="758"/>
      <c r="P1189" s="758"/>
      <c r="Q1189" s="758"/>
      <c r="T1189" s="758"/>
      <c r="U1189" s="758"/>
      <c r="V1189" s="760"/>
      <c r="W1189" s="758"/>
      <c r="X1189" s="758"/>
    </row>
    <row r="1190" spans="1:24">
      <c r="A1190" s="755"/>
      <c r="B1190" s="755"/>
      <c r="C1190" s="756"/>
      <c r="D1190" s="755"/>
      <c r="E1190" s="755"/>
      <c r="F1190" s="756"/>
      <c r="G1190" s="755"/>
      <c r="H1190" s="755"/>
      <c r="I1190" s="757"/>
      <c r="J1190" s="755"/>
      <c r="K1190" s="756"/>
      <c r="L1190" s="758"/>
      <c r="M1190" s="758"/>
      <c r="N1190" s="758"/>
      <c r="O1190" s="758"/>
      <c r="P1190" s="758"/>
      <c r="Q1190" s="758"/>
      <c r="T1190" s="758"/>
      <c r="U1190" s="758"/>
      <c r="V1190" s="760"/>
      <c r="W1190" s="758"/>
      <c r="X1190" s="758"/>
    </row>
    <row r="1191" spans="1:24">
      <c r="A1191" s="755"/>
      <c r="B1191" s="755"/>
      <c r="C1191" s="756"/>
      <c r="D1191" s="755"/>
      <c r="E1191" s="755"/>
      <c r="F1191" s="756"/>
      <c r="G1191" s="755"/>
      <c r="H1191" s="755"/>
      <c r="I1191" s="757"/>
      <c r="J1191" s="755"/>
      <c r="K1191" s="756"/>
      <c r="L1191" s="758"/>
      <c r="M1191" s="758"/>
      <c r="N1191" s="758"/>
      <c r="O1191" s="758"/>
      <c r="P1191" s="758"/>
      <c r="Q1191" s="758"/>
      <c r="T1191" s="758"/>
      <c r="U1191" s="758"/>
      <c r="V1191" s="760"/>
      <c r="W1191" s="758"/>
      <c r="X1191" s="758"/>
    </row>
    <row r="1192" spans="1:24">
      <c r="A1192" s="755"/>
      <c r="B1192" s="755"/>
      <c r="C1192" s="756"/>
      <c r="D1192" s="755"/>
      <c r="E1192" s="755"/>
      <c r="F1192" s="756"/>
      <c r="G1192" s="755"/>
      <c r="H1192" s="755"/>
      <c r="I1192" s="757"/>
      <c r="J1192" s="755"/>
      <c r="K1192" s="756"/>
      <c r="L1192" s="758"/>
      <c r="M1192" s="758"/>
      <c r="N1192" s="758"/>
      <c r="O1192" s="758"/>
      <c r="P1192" s="758"/>
      <c r="Q1192" s="758"/>
      <c r="T1192" s="758"/>
      <c r="U1192" s="758"/>
      <c r="V1192" s="760"/>
      <c r="W1192" s="758"/>
      <c r="X1192" s="758"/>
    </row>
    <row r="1193" spans="1:24">
      <c r="A1193" s="755"/>
      <c r="B1193" s="755"/>
      <c r="C1193" s="756"/>
      <c r="D1193" s="755"/>
      <c r="E1193" s="755"/>
      <c r="F1193" s="756"/>
      <c r="G1193" s="755"/>
      <c r="H1193" s="755"/>
      <c r="I1193" s="757"/>
      <c r="J1193" s="755"/>
      <c r="K1193" s="756"/>
      <c r="L1193" s="758"/>
      <c r="M1193" s="758"/>
      <c r="N1193" s="758"/>
      <c r="O1193" s="758"/>
      <c r="P1193" s="758"/>
      <c r="Q1193" s="758"/>
      <c r="T1193" s="758"/>
      <c r="U1193" s="758"/>
      <c r="V1193" s="760"/>
      <c r="W1193" s="758"/>
      <c r="X1193" s="758"/>
    </row>
    <row r="1194" spans="1:24">
      <c r="A1194" s="755"/>
      <c r="B1194" s="755"/>
      <c r="C1194" s="756"/>
      <c r="D1194" s="755"/>
      <c r="E1194" s="755"/>
      <c r="F1194" s="756"/>
      <c r="G1194" s="755"/>
      <c r="H1194" s="755"/>
      <c r="I1194" s="757"/>
      <c r="J1194" s="755"/>
      <c r="K1194" s="756"/>
      <c r="L1194" s="758"/>
      <c r="M1194" s="758"/>
      <c r="N1194" s="758"/>
      <c r="O1194" s="758"/>
      <c r="P1194" s="758"/>
      <c r="Q1194" s="758"/>
      <c r="T1194" s="758"/>
      <c r="U1194" s="758"/>
      <c r="V1194" s="760"/>
      <c r="W1194" s="758"/>
      <c r="X1194" s="758"/>
    </row>
    <row r="1195" spans="1:24">
      <c r="A1195" s="755"/>
      <c r="B1195" s="755"/>
      <c r="C1195" s="756"/>
      <c r="D1195" s="755"/>
      <c r="E1195" s="755"/>
      <c r="F1195" s="756"/>
      <c r="G1195" s="755"/>
      <c r="H1195" s="755"/>
      <c r="I1195" s="757"/>
      <c r="J1195" s="755"/>
      <c r="K1195" s="756"/>
      <c r="L1195" s="758"/>
      <c r="M1195" s="758"/>
      <c r="N1195" s="758"/>
      <c r="O1195" s="758"/>
      <c r="P1195" s="758"/>
      <c r="Q1195" s="758"/>
      <c r="T1195" s="758"/>
      <c r="U1195" s="758"/>
      <c r="V1195" s="760"/>
      <c r="W1195" s="758"/>
      <c r="X1195" s="758"/>
    </row>
    <row r="1196" spans="1:24">
      <c r="A1196" s="755"/>
      <c r="B1196" s="755"/>
      <c r="C1196" s="756"/>
      <c r="D1196" s="755"/>
      <c r="E1196" s="755"/>
      <c r="F1196" s="756"/>
      <c r="G1196" s="755"/>
      <c r="H1196" s="755"/>
      <c r="I1196" s="757"/>
      <c r="J1196" s="755"/>
      <c r="K1196" s="756"/>
      <c r="L1196" s="758"/>
      <c r="M1196" s="758"/>
      <c r="N1196" s="758"/>
      <c r="O1196" s="758"/>
      <c r="P1196" s="758"/>
      <c r="Q1196" s="758"/>
      <c r="T1196" s="758"/>
      <c r="U1196" s="758"/>
      <c r="V1196" s="760"/>
      <c r="W1196" s="758"/>
      <c r="X1196" s="758"/>
    </row>
    <row r="1197" spans="1:24">
      <c r="A1197" s="755"/>
      <c r="B1197" s="755"/>
      <c r="C1197" s="756"/>
      <c r="D1197" s="755"/>
      <c r="E1197" s="755"/>
      <c r="F1197" s="756"/>
      <c r="G1197" s="755"/>
      <c r="H1197" s="755"/>
      <c r="I1197" s="757"/>
      <c r="J1197" s="755"/>
      <c r="K1197" s="756"/>
      <c r="L1197" s="758"/>
      <c r="M1197" s="758"/>
      <c r="N1197" s="758"/>
      <c r="O1197" s="758"/>
      <c r="P1197" s="758"/>
      <c r="Q1197" s="758"/>
      <c r="T1197" s="758"/>
      <c r="U1197" s="758"/>
      <c r="V1197" s="760"/>
      <c r="W1197" s="758"/>
      <c r="X1197" s="758"/>
    </row>
    <row r="1198" spans="1:24">
      <c r="A1198" s="755"/>
      <c r="B1198" s="755"/>
      <c r="C1198" s="756"/>
      <c r="D1198" s="755"/>
      <c r="E1198" s="755"/>
      <c r="F1198" s="756"/>
      <c r="G1198" s="755"/>
      <c r="H1198" s="755"/>
      <c r="I1198" s="757"/>
      <c r="J1198" s="755"/>
      <c r="K1198" s="756"/>
      <c r="L1198" s="758"/>
      <c r="M1198" s="758"/>
      <c r="N1198" s="758"/>
      <c r="O1198" s="758"/>
      <c r="P1198" s="758"/>
      <c r="Q1198" s="758"/>
      <c r="T1198" s="758"/>
      <c r="U1198" s="758"/>
      <c r="V1198" s="760"/>
      <c r="W1198" s="758"/>
      <c r="X1198" s="758"/>
    </row>
    <row r="1199" spans="1:24">
      <c r="A1199" s="755"/>
      <c r="B1199" s="755"/>
      <c r="C1199" s="756"/>
      <c r="D1199" s="755"/>
      <c r="E1199" s="755"/>
      <c r="F1199" s="756"/>
      <c r="G1199" s="755"/>
      <c r="H1199" s="755"/>
      <c r="I1199" s="757"/>
      <c r="J1199" s="755"/>
      <c r="K1199" s="756"/>
      <c r="L1199" s="758"/>
      <c r="M1199" s="758"/>
      <c r="N1199" s="758"/>
      <c r="O1199" s="758"/>
      <c r="P1199" s="758"/>
      <c r="Q1199" s="758"/>
      <c r="T1199" s="758"/>
      <c r="U1199" s="758"/>
      <c r="V1199" s="760"/>
      <c r="W1199" s="758"/>
      <c r="X1199" s="758"/>
    </row>
    <row r="1200" spans="1:24">
      <c r="A1200" s="755"/>
      <c r="B1200" s="755"/>
      <c r="C1200" s="756"/>
      <c r="D1200" s="755"/>
      <c r="E1200" s="755"/>
      <c r="F1200" s="756"/>
      <c r="G1200" s="755"/>
      <c r="H1200" s="755"/>
      <c r="I1200" s="757"/>
      <c r="J1200" s="755"/>
      <c r="K1200" s="756"/>
      <c r="L1200" s="758"/>
      <c r="M1200" s="758"/>
      <c r="N1200" s="758"/>
      <c r="O1200" s="758"/>
      <c r="P1200" s="758"/>
      <c r="Q1200" s="758"/>
      <c r="T1200" s="758"/>
      <c r="U1200" s="758"/>
      <c r="V1200" s="760"/>
      <c r="W1200" s="758"/>
      <c r="X1200" s="758"/>
    </row>
    <row r="1201" spans="1:24">
      <c r="A1201" s="755"/>
      <c r="B1201" s="755"/>
      <c r="C1201" s="756"/>
      <c r="D1201" s="755"/>
      <c r="E1201" s="755"/>
      <c r="F1201" s="756"/>
      <c r="G1201" s="755"/>
      <c r="H1201" s="755"/>
      <c r="I1201" s="757"/>
      <c r="J1201" s="755"/>
      <c r="K1201" s="756"/>
      <c r="L1201" s="758"/>
      <c r="M1201" s="758"/>
      <c r="N1201" s="758"/>
      <c r="O1201" s="758"/>
      <c r="P1201" s="758"/>
      <c r="Q1201" s="758"/>
      <c r="T1201" s="758"/>
      <c r="U1201" s="758"/>
      <c r="V1201" s="760"/>
      <c r="W1201" s="758"/>
      <c r="X1201" s="758"/>
    </row>
    <row r="1202" spans="1:24">
      <c r="A1202" s="755"/>
      <c r="B1202" s="755"/>
      <c r="C1202" s="756"/>
      <c r="D1202" s="755"/>
      <c r="E1202" s="755"/>
      <c r="F1202" s="756"/>
      <c r="G1202" s="755"/>
      <c r="H1202" s="755"/>
      <c r="I1202" s="757"/>
      <c r="J1202" s="755"/>
      <c r="K1202" s="756"/>
      <c r="L1202" s="758"/>
      <c r="M1202" s="758"/>
      <c r="N1202" s="758"/>
      <c r="O1202" s="758"/>
      <c r="P1202" s="758"/>
      <c r="Q1202" s="758"/>
      <c r="T1202" s="758"/>
      <c r="U1202" s="758"/>
      <c r="V1202" s="760"/>
      <c r="W1202" s="758"/>
      <c r="X1202" s="758"/>
    </row>
    <row r="1203" spans="1:24">
      <c r="A1203" s="755"/>
      <c r="B1203" s="755"/>
      <c r="C1203" s="756"/>
      <c r="D1203" s="755"/>
      <c r="E1203" s="755"/>
      <c r="F1203" s="756"/>
      <c r="G1203" s="755"/>
      <c r="H1203" s="755"/>
      <c r="I1203" s="757"/>
      <c r="J1203" s="755"/>
      <c r="K1203" s="756"/>
      <c r="L1203" s="758"/>
      <c r="M1203" s="758"/>
      <c r="N1203" s="758"/>
      <c r="O1203" s="758"/>
      <c r="P1203" s="758"/>
      <c r="Q1203" s="758"/>
      <c r="T1203" s="758"/>
      <c r="U1203" s="758"/>
      <c r="V1203" s="760"/>
      <c r="W1203" s="758"/>
      <c r="X1203" s="758"/>
    </row>
    <row r="1204" spans="1:24">
      <c r="A1204" s="755"/>
      <c r="B1204" s="755"/>
      <c r="C1204" s="756"/>
      <c r="D1204" s="755"/>
      <c r="E1204" s="755"/>
      <c r="F1204" s="756"/>
      <c r="G1204" s="755"/>
      <c r="H1204" s="755"/>
      <c r="I1204" s="757"/>
      <c r="J1204" s="755"/>
      <c r="K1204" s="756"/>
      <c r="L1204" s="758"/>
      <c r="M1204" s="758"/>
      <c r="N1204" s="758"/>
      <c r="O1204" s="758"/>
      <c r="P1204" s="758"/>
      <c r="Q1204" s="758"/>
      <c r="T1204" s="758"/>
      <c r="U1204" s="758"/>
      <c r="V1204" s="760"/>
      <c r="W1204" s="758"/>
      <c r="X1204" s="758"/>
    </row>
    <row r="1205" spans="1:24">
      <c r="A1205" s="755"/>
      <c r="B1205" s="755"/>
      <c r="C1205" s="756"/>
      <c r="D1205" s="755"/>
      <c r="E1205" s="755"/>
      <c r="F1205" s="756"/>
      <c r="G1205" s="755"/>
      <c r="H1205" s="755"/>
      <c r="I1205" s="757"/>
      <c r="J1205" s="755"/>
      <c r="K1205" s="756"/>
      <c r="L1205" s="758"/>
      <c r="M1205" s="758"/>
      <c r="N1205" s="758"/>
      <c r="O1205" s="758"/>
      <c r="P1205" s="758"/>
      <c r="Q1205" s="758"/>
      <c r="T1205" s="758"/>
      <c r="U1205" s="758"/>
      <c r="V1205" s="760"/>
      <c r="W1205" s="758"/>
      <c r="X1205" s="758"/>
    </row>
    <row r="1206" spans="1:24">
      <c r="A1206" s="755"/>
      <c r="B1206" s="755"/>
      <c r="C1206" s="756"/>
      <c r="D1206" s="755"/>
      <c r="E1206" s="755"/>
      <c r="F1206" s="756"/>
      <c r="G1206" s="755"/>
      <c r="H1206" s="755"/>
      <c r="I1206" s="757"/>
      <c r="J1206" s="755"/>
      <c r="K1206" s="756"/>
      <c r="L1206" s="758"/>
      <c r="M1206" s="758"/>
      <c r="N1206" s="758"/>
      <c r="O1206" s="758"/>
      <c r="P1206" s="758"/>
      <c r="Q1206" s="758"/>
      <c r="T1206" s="758"/>
      <c r="U1206" s="758"/>
      <c r="V1206" s="760"/>
      <c r="W1206" s="758"/>
      <c r="X1206" s="758"/>
    </row>
    <row r="1207" spans="1:24">
      <c r="A1207" s="755"/>
      <c r="B1207" s="755"/>
      <c r="C1207" s="756"/>
      <c r="D1207" s="755"/>
      <c r="E1207" s="755"/>
      <c r="F1207" s="756"/>
      <c r="G1207" s="755"/>
      <c r="H1207" s="755"/>
      <c r="I1207" s="757"/>
      <c r="J1207" s="755"/>
      <c r="K1207" s="756"/>
      <c r="L1207" s="758"/>
      <c r="M1207" s="758"/>
      <c r="N1207" s="758"/>
      <c r="O1207" s="758"/>
      <c r="P1207" s="758"/>
      <c r="Q1207" s="758"/>
      <c r="T1207" s="758"/>
      <c r="U1207" s="758"/>
      <c r="V1207" s="760"/>
      <c r="W1207" s="758"/>
      <c r="X1207" s="758"/>
    </row>
    <row r="1208" spans="1:24">
      <c r="A1208" s="755"/>
      <c r="B1208" s="755"/>
      <c r="C1208" s="756"/>
      <c r="D1208" s="755"/>
      <c r="E1208" s="755"/>
      <c r="F1208" s="756"/>
      <c r="G1208" s="755"/>
      <c r="H1208" s="755"/>
      <c r="I1208" s="757"/>
      <c r="J1208" s="755"/>
      <c r="K1208" s="756"/>
      <c r="L1208" s="758"/>
      <c r="M1208" s="758"/>
      <c r="N1208" s="758"/>
      <c r="O1208" s="758"/>
      <c r="P1208" s="758"/>
      <c r="Q1208" s="758"/>
      <c r="T1208" s="758"/>
      <c r="U1208" s="758"/>
      <c r="V1208" s="760"/>
      <c r="W1208" s="758"/>
      <c r="X1208" s="758"/>
    </row>
    <row r="1209" spans="1:24">
      <c r="A1209" s="755"/>
      <c r="B1209" s="755"/>
      <c r="C1209" s="756"/>
      <c r="D1209" s="755"/>
      <c r="E1209" s="755"/>
      <c r="F1209" s="756"/>
      <c r="G1209" s="755"/>
      <c r="H1209" s="755"/>
      <c r="I1209" s="757"/>
      <c r="J1209" s="755"/>
      <c r="K1209" s="756"/>
      <c r="L1209" s="758"/>
      <c r="M1209" s="758"/>
      <c r="N1209" s="758"/>
      <c r="O1209" s="758"/>
      <c r="P1209" s="758"/>
      <c r="Q1209" s="758"/>
      <c r="T1209" s="758"/>
      <c r="U1209" s="758"/>
      <c r="V1209" s="760"/>
      <c r="W1209" s="758"/>
      <c r="X1209" s="758"/>
    </row>
    <row r="1210" spans="1:24">
      <c r="A1210" s="755"/>
      <c r="B1210" s="755"/>
      <c r="C1210" s="756"/>
      <c r="D1210" s="755"/>
      <c r="E1210" s="755"/>
      <c r="F1210" s="756"/>
      <c r="G1210" s="755"/>
      <c r="H1210" s="755"/>
      <c r="I1210" s="757"/>
      <c r="J1210" s="755"/>
      <c r="K1210" s="756"/>
      <c r="L1210" s="758"/>
      <c r="M1210" s="758"/>
      <c r="N1210" s="758"/>
      <c r="O1210" s="758"/>
      <c r="P1210" s="758"/>
      <c r="Q1210" s="758"/>
      <c r="T1210" s="758"/>
      <c r="U1210" s="758"/>
      <c r="V1210" s="760"/>
      <c r="W1210" s="758"/>
      <c r="X1210" s="758"/>
    </row>
    <row r="1211" spans="1:24">
      <c r="A1211" s="755"/>
      <c r="B1211" s="755"/>
      <c r="C1211" s="756"/>
      <c r="D1211" s="755"/>
      <c r="E1211" s="755"/>
      <c r="F1211" s="756"/>
      <c r="G1211" s="755"/>
      <c r="H1211" s="755"/>
      <c r="I1211" s="757"/>
      <c r="J1211" s="755"/>
      <c r="K1211" s="756"/>
      <c r="L1211" s="758"/>
      <c r="M1211" s="758"/>
      <c r="N1211" s="758"/>
      <c r="O1211" s="758"/>
      <c r="P1211" s="758"/>
      <c r="Q1211" s="758"/>
      <c r="T1211" s="758"/>
      <c r="U1211" s="758"/>
      <c r="V1211" s="760"/>
      <c r="W1211" s="758"/>
      <c r="X1211" s="758"/>
    </row>
    <row r="1212" spans="1:24">
      <c r="A1212" s="755"/>
      <c r="B1212" s="755"/>
      <c r="C1212" s="756"/>
      <c r="D1212" s="755"/>
      <c r="E1212" s="755"/>
      <c r="F1212" s="756"/>
      <c r="G1212" s="755"/>
      <c r="H1212" s="755"/>
      <c r="I1212" s="757"/>
      <c r="J1212" s="755"/>
      <c r="K1212" s="756"/>
      <c r="L1212" s="758"/>
      <c r="M1212" s="758"/>
      <c r="N1212" s="758"/>
      <c r="O1212" s="758"/>
      <c r="P1212" s="758"/>
      <c r="Q1212" s="758"/>
      <c r="T1212" s="758"/>
      <c r="U1212" s="758"/>
      <c r="V1212" s="760"/>
      <c r="W1212" s="758"/>
      <c r="X1212" s="758"/>
    </row>
    <row r="1213" spans="1:24">
      <c r="A1213" s="755"/>
      <c r="B1213" s="755"/>
      <c r="C1213" s="756"/>
      <c r="D1213" s="755"/>
      <c r="E1213" s="755"/>
      <c r="F1213" s="756"/>
      <c r="G1213" s="755"/>
      <c r="H1213" s="755"/>
      <c r="I1213" s="757"/>
      <c r="J1213" s="755"/>
      <c r="K1213" s="756"/>
      <c r="L1213" s="758"/>
      <c r="M1213" s="758"/>
      <c r="N1213" s="758"/>
      <c r="O1213" s="758"/>
      <c r="P1213" s="758"/>
      <c r="Q1213" s="758"/>
      <c r="T1213" s="758"/>
      <c r="U1213" s="758"/>
      <c r="V1213" s="760"/>
      <c r="W1213" s="758"/>
      <c r="X1213" s="758"/>
    </row>
    <row r="1214" spans="1:24">
      <c r="A1214" s="755"/>
      <c r="B1214" s="755"/>
      <c r="C1214" s="756"/>
      <c r="D1214" s="755"/>
      <c r="E1214" s="755"/>
      <c r="F1214" s="756"/>
      <c r="G1214" s="755"/>
      <c r="H1214" s="755"/>
      <c r="I1214" s="757"/>
      <c r="J1214" s="755"/>
      <c r="K1214" s="756"/>
      <c r="L1214" s="758"/>
      <c r="M1214" s="758"/>
      <c r="N1214" s="758"/>
      <c r="O1214" s="758"/>
      <c r="P1214" s="758"/>
      <c r="Q1214" s="758"/>
      <c r="T1214" s="758"/>
      <c r="U1214" s="758"/>
      <c r="V1214" s="760"/>
      <c r="W1214" s="758"/>
      <c r="X1214" s="758"/>
    </row>
    <row r="1215" spans="1:24">
      <c r="A1215" s="755"/>
      <c r="B1215" s="755"/>
      <c r="C1215" s="756"/>
      <c r="D1215" s="755"/>
      <c r="E1215" s="755"/>
      <c r="F1215" s="756"/>
      <c r="G1215" s="755"/>
      <c r="H1215" s="755"/>
      <c r="I1215" s="757"/>
      <c r="J1215" s="755"/>
      <c r="K1215" s="756"/>
      <c r="L1215" s="758"/>
      <c r="M1215" s="758"/>
      <c r="N1215" s="758"/>
      <c r="O1215" s="758"/>
      <c r="P1215" s="758"/>
      <c r="Q1215" s="758"/>
      <c r="T1215" s="758"/>
      <c r="U1215" s="758"/>
      <c r="V1215" s="760"/>
      <c r="W1215" s="758"/>
      <c r="X1215" s="758"/>
    </row>
    <row r="1216" spans="1:24">
      <c r="A1216" s="755"/>
      <c r="B1216" s="755"/>
      <c r="C1216" s="756"/>
      <c r="D1216" s="755"/>
      <c r="E1216" s="755"/>
      <c r="F1216" s="756"/>
      <c r="G1216" s="755"/>
      <c r="H1216" s="755"/>
      <c r="I1216" s="757"/>
      <c r="J1216" s="755"/>
      <c r="K1216" s="756"/>
      <c r="L1216" s="758"/>
      <c r="M1216" s="758"/>
      <c r="N1216" s="758"/>
      <c r="O1216" s="758"/>
      <c r="P1216" s="758"/>
      <c r="Q1216" s="758"/>
      <c r="T1216" s="758"/>
      <c r="U1216" s="758"/>
      <c r="V1216" s="760"/>
      <c r="W1216" s="758"/>
      <c r="X1216" s="758"/>
    </row>
    <row r="1217" spans="1:24">
      <c r="A1217" s="755"/>
      <c r="B1217" s="755"/>
      <c r="C1217" s="756"/>
      <c r="D1217" s="755"/>
      <c r="E1217" s="755"/>
      <c r="F1217" s="756"/>
      <c r="G1217" s="755"/>
      <c r="H1217" s="755"/>
      <c r="I1217" s="757"/>
      <c r="J1217" s="755"/>
      <c r="K1217" s="756"/>
      <c r="L1217" s="758"/>
      <c r="M1217" s="758"/>
      <c r="N1217" s="758"/>
      <c r="O1217" s="758"/>
      <c r="P1217" s="758"/>
      <c r="Q1217" s="758"/>
      <c r="T1217" s="758"/>
      <c r="U1217" s="758"/>
      <c r="V1217" s="760"/>
      <c r="W1217" s="758"/>
      <c r="X1217" s="758"/>
    </row>
    <row r="1218" spans="1:24">
      <c r="A1218" s="755"/>
      <c r="B1218" s="755"/>
      <c r="C1218" s="756"/>
      <c r="D1218" s="755"/>
      <c r="E1218" s="755"/>
      <c r="F1218" s="756"/>
      <c r="G1218" s="755"/>
      <c r="H1218" s="755"/>
      <c r="I1218" s="757"/>
      <c r="J1218" s="755"/>
      <c r="K1218" s="756"/>
      <c r="L1218" s="758"/>
      <c r="M1218" s="758"/>
      <c r="N1218" s="758"/>
      <c r="O1218" s="758"/>
      <c r="P1218" s="758"/>
      <c r="Q1218" s="758"/>
      <c r="T1218" s="758"/>
      <c r="U1218" s="758"/>
      <c r="V1218" s="760"/>
      <c r="W1218" s="758"/>
      <c r="X1218" s="758"/>
    </row>
    <row r="1219" spans="1:24">
      <c r="A1219" s="755"/>
      <c r="B1219" s="755"/>
      <c r="C1219" s="756"/>
      <c r="D1219" s="755"/>
      <c r="E1219" s="755"/>
      <c r="F1219" s="756"/>
      <c r="G1219" s="755"/>
      <c r="H1219" s="755"/>
      <c r="I1219" s="757"/>
      <c r="J1219" s="755"/>
      <c r="K1219" s="756"/>
      <c r="L1219" s="758"/>
      <c r="M1219" s="758"/>
      <c r="N1219" s="758"/>
      <c r="O1219" s="758"/>
      <c r="P1219" s="758"/>
      <c r="Q1219" s="758"/>
      <c r="T1219" s="758"/>
      <c r="U1219" s="758"/>
      <c r="V1219" s="760"/>
      <c r="W1219" s="758"/>
      <c r="X1219" s="758"/>
    </row>
    <row r="1220" spans="1:24">
      <c r="A1220" s="755"/>
      <c r="B1220" s="755"/>
      <c r="C1220" s="756"/>
      <c r="D1220" s="755"/>
      <c r="E1220" s="755"/>
      <c r="F1220" s="756"/>
      <c r="G1220" s="755"/>
      <c r="H1220" s="755"/>
      <c r="I1220" s="757"/>
      <c r="J1220" s="755"/>
      <c r="K1220" s="756"/>
      <c r="L1220" s="758"/>
      <c r="M1220" s="758"/>
      <c r="N1220" s="758"/>
      <c r="O1220" s="758"/>
      <c r="P1220" s="758"/>
      <c r="Q1220" s="758"/>
      <c r="T1220" s="758"/>
      <c r="U1220" s="758"/>
      <c r="V1220" s="760"/>
      <c r="W1220" s="758"/>
      <c r="X1220" s="758"/>
    </row>
    <row r="1221" spans="1:24">
      <c r="A1221" s="755"/>
      <c r="B1221" s="755"/>
      <c r="C1221" s="756"/>
      <c r="D1221" s="755"/>
      <c r="E1221" s="755"/>
      <c r="F1221" s="756"/>
      <c r="G1221" s="755"/>
      <c r="H1221" s="755"/>
      <c r="I1221" s="757"/>
      <c r="J1221" s="755"/>
      <c r="K1221" s="756"/>
      <c r="L1221" s="758"/>
      <c r="M1221" s="758"/>
      <c r="N1221" s="758"/>
      <c r="O1221" s="758"/>
      <c r="P1221" s="758"/>
      <c r="Q1221" s="758"/>
      <c r="T1221" s="758"/>
      <c r="U1221" s="758"/>
      <c r="V1221" s="760"/>
      <c r="W1221" s="758"/>
      <c r="X1221" s="758"/>
    </row>
    <row r="1222" spans="1:24">
      <c r="A1222" s="755"/>
      <c r="B1222" s="755"/>
      <c r="C1222" s="756"/>
      <c r="D1222" s="755"/>
      <c r="E1222" s="755"/>
      <c r="F1222" s="756"/>
      <c r="G1222" s="755"/>
      <c r="H1222" s="755"/>
      <c r="I1222" s="757"/>
      <c r="J1222" s="755"/>
      <c r="K1222" s="756"/>
      <c r="L1222" s="758"/>
      <c r="M1222" s="758"/>
      <c r="N1222" s="758"/>
      <c r="O1222" s="758"/>
      <c r="P1222" s="758"/>
      <c r="Q1222" s="758"/>
      <c r="T1222" s="758"/>
      <c r="U1222" s="758"/>
      <c r="V1222" s="760"/>
      <c r="W1222" s="758"/>
      <c r="X1222" s="758"/>
    </row>
    <row r="1223" spans="1:24">
      <c r="A1223" s="755"/>
      <c r="B1223" s="755"/>
      <c r="C1223" s="756"/>
      <c r="D1223" s="755"/>
      <c r="E1223" s="755"/>
      <c r="F1223" s="756"/>
      <c r="G1223" s="755"/>
      <c r="H1223" s="755"/>
      <c r="I1223" s="757"/>
      <c r="J1223" s="755"/>
      <c r="K1223" s="756"/>
      <c r="L1223" s="758"/>
      <c r="M1223" s="758"/>
      <c r="N1223" s="758"/>
      <c r="O1223" s="758"/>
      <c r="P1223" s="758"/>
      <c r="Q1223" s="758"/>
      <c r="T1223" s="758"/>
      <c r="U1223" s="758"/>
      <c r="V1223" s="760"/>
      <c r="W1223" s="758"/>
      <c r="X1223" s="758"/>
    </row>
    <row r="1224" spans="1:24">
      <c r="A1224" s="755"/>
      <c r="B1224" s="755"/>
      <c r="C1224" s="756"/>
      <c r="D1224" s="755"/>
      <c r="E1224" s="755"/>
      <c r="F1224" s="756"/>
      <c r="G1224" s="755"/>
      <c r="H1224" s="755"/>
      <c r="I1224" s="757"/>
      <c r="J1224" s="755"/>
      <c r="K1224" s="756"/>
      <c r="L1224" s="758"/>
      <c r="M1224" s="758"/>
      <c r="N1224" s="758"/>
      <c r="O1224" s="758"/>
      <c r="P1224" s="758"/>
      <c r="Q1224" s="758"/>
      <c r="T1224" s="758"/>
      <c r="U1224" s="758"/>
      <c r="V1224" s="760"/>
      <c r="W1224" s="758"/>
      <c r="X1224" s="758"/>
    </row>
    <row r="1225" spans="1:24">
      <c r="A1225" s="755"/>
      <c r="B1225" s="755"/>
      <c r="C1225" s="756"/>
      <c r="D1225" s="755"/>
      <c r="E1225" s="755"/>
      <c r="F1225" s="756"/>
      <c r="G1225" s="755"/>
      <c r="H1225" s="755"/>
      <c r="I1225" s="757"/>
      <c r="J1225" s="755"/>
      <c r="K1225" s="756"/>
      <c r="L1225" s="758"/>
      <c r="M1225" s="758"/>
      <c r="N1225" s="758"/>
      <c r="O1225" s="758"/>
      <c r="P1225" s="758"/>
      <c r="Q1225" s="758"/>
      <c r="T1225" s="758"/>
      <c r="U1225" s="758"/>
      <c r="V1225" s="760"/>
      <c r="W1225" s="758"/>
      <c r="X1225" s="758"/>
    </row>
    <row r="1226" spans="1:24">
      <c r="A1226" s="755"/>
      <c r="B1226" s="755"/>
      <c r="C1226" s="756"/>
      <c r="D1226" s="755"/>
      <c r="E1226" s="755"/>
      <c r="F1226" s="756"/>
      <c r="G1226" s="755"/>
      <c r="H1226" s="755"/>
      <c r="I1226" s="757"/>
      <c r="J1226" s="755"/>
      <c r="K1226" s="756"/>
      <c r="L1226" s="758"/>
      <c r="M1226" s="758"/>
      <c r="N1226" s="758"/>
      <c r="O1226" s="758"/>
      <c r="P1226" s="758"/>
      <c r="Q1226" s="758"/>
      <c r="T1226" s="758"/>
      <c r="U1226" s="758"/>
      <c r="V1226" s="760"/>
      <c r="W1226" s="758"/>
      <c r="X1226" s="758"/>
    </row>
    <row r="1227" spans="1:24">
      <c r="A1227" s="755"/>
      <c r="B1227" s="755"/>
      <c r="C1227" s="756"/>
      <c r="D1227" s="755"/>
      <c r="E1227" s="755"/>
      <c r="F1227" s="756"/>
      <c r="G1227" s="755"/>
      <c r="H1227" s="755"/>
      <c r="I1227" s="757"/>
      <c r="J1227" s="755"/>
      <c r="K1227" s="756"/>
      <c r="L1227" s="758"/>
      <c r="M1227" s="758"/>
      <c r="N1227" s="758"/>
      <c r="O1227" s="758"/>
      <c r="P1227" s="758"/>
      <c r="Q1227" s="758"/>
      <c r="T1227" s="758"/>
      <c r="U1227" s="758"/>
      <c r="V1227" s="760"/>
      <c r="W1227" s="758"/>
      <c r="X1227" s="758"/>
    </row>
    <row r="1228" spans="1:24">
      <c r="A1228" s="755"/>
      <c r="B1228" s="755"/>
      <c r="C1228" s="756"/>
      <c r="D1228" s="755"/>
      <c r="E1228" s="755"/>
      <c r="F1228" s="756"/>
      <c r="G1228" s="755"/>
      <c r="H1228" s="755"/>
      <c r="I1228" s="757"/>
      <c r="J1228" s="755"/>
      <c r="K1228" s="756"/>
      <c r="L1228" s="758"/>
      <c r="M1228" s="758"/>
      <c r="N1228" s="758"/>
      <c r="O1228" s="758"/>
      <c r="P1228" s="758"/>
      <c r="Q1228" s="758"/>
      <c r="T1228" s="758"/>
      <c r="U1228" s="758"/>
      <c r="V1228" s="760"/>
      <c r="W1228" s="758"/>
      <c r="X1228" s="758"/>
    </row>
    <row r="1229" spans="1:24">
      <c r="A1229" s="755"/>
      <c r="B1229" s="755"/>
      <c r="C1229" s="756"/>
      <c r="D1229" s="755"/>
      <c r="E1229" s="755"/>
      <c r="F1229" s="756"/>
      <c r="G1229" s="755"/>
      <c r="H1229" s="755"/>
      <c r="I1229" s="757"/>
      <c r="J1229" s="755"/>
      <c r="K1229" s="756"/>
      <c r="L1229" s="758"/>
      <c r="M1229" s="758"/>
      <c r="N1229" s="758"/>
      <c r="O1229" s="758"/>
      <c r="P1229" s="758"/>
      <c r="Q1229" s="758"/>
      <c r="T1229" s="758"/>
      <c r="U1229" s="758"/>
      <c r="V1229" s="760"/>
      <c r="W1229" s="758"/>
      <c r="X1229" s="758"/>
    </row>
    <row r="1230" spans="1:24">
      <c r="A1230" s="755"/>
      <c r="B1230" s="755"/>
      <c r="C1230" s="756"/>
      <c r="D1230" s="755"/>
      <c r="E1230" s="755"/>
      <c r="F1230" s="756"/>
      <c r="G1230" s="755"/>
      <c r="H1230" s="755"/>
      <c r="I1230" s="757"/>
      <c r="J1230" s="755"/>
      <c r="K1230" s="756"/>
      <c r="L1230" s="758"/>
      <c r="M1230" s="758"/>
      <c r="N1230" s="758"/>
      <c r="O1230" s="758"/>
      <c r="P1230" s="758"/>
      <c r="Q1230" s="758"/>
      <c r="T1230" s="758"/>
      <c r="U1230" s="758"/>
      <c r="V1230" s="760"/>
      <c r="W1230" s="758"/>
      <c r="X1230" s="758"/>
    </row>
    <row r="1231" spans="1:24">
      <c r="A1231" s="755"/>
      <c r="B1231" s="755"/>
      <c r="C1231" s="756"/>
      <c r="D1231" s="755"/>
      <c r="E1231" s="755"/>
      <c r="F1231" s="756"/>
      <c r="G1231" s="755"/>
      <c r="H1231" s="755"/>
      <c r="I1231" s="757"/>
      <c r="J1231" s="755"/>
      <c r="K1231" s="756"/>
      <c r="L1231" s="758"/>
      <c r="M1231" s="758"/>
      <c r="N1231" s="758"/>
      <c r="O1231" s="758"/>
      <c r="P1231" s="758"/>
      <c r="Q1231" s="758"/>
      <c r="T1231" s="758"/>
      <c r="U1231" s="758"/>
      <c r="V1231" s="760"/>
      <c r="W1231" s="758"/>
      <c r="X1231" s="758"/>
    </row>
    <row r="1232" spans="1:24">
      <c r="A1232" s="755"/>
      <c r="B1232" s="755"/>
      <c r="C1232" s="756"/>
      <c r="D1232" s="755"/>
      <c r="E1232" s="755"/>
      <c r="F1232" s="756"/>
      <c r="G1232" s="755"/>
      <c r="H1232" s="755"/>
      <c r="I1232" s="757"/>
      <c r="J1232" s="755"/>
      <c r="K1232" s="756"/>
      <c r="L1232" s="758"/>
      <c r="M1232" s="758"/>
      <c r="N1232" s="758"/>
      <c r="O1232" s="758"/>
      <c r="P1232" s="758"/>
      <c r="Q1232" s="758"/>
      <c r="T1232" s="758"/>
      <c r="U1232" s="758"/>
      <c r="V1232" s="760"/>
      <c r="W1232" s="758"/>
      <c r="X1232" s="758"/>
    </row>
    <row r="1233" spans="1:24">
      <c r="A1233" s="755"/>
      <c r="B1233" s="755"/>
      <c r="C1233" s="756"/>
      <c r="D1233" s="755"/>
      <c r="E1233" s="755"/>
      <c r="F1233" s="756"/>
      <c r="G1233" s="755"/>
      <c r="H1233" s="755"/>
      <c r="I1233" s="757"/>
      <c r="J1233" s="755"/>
      <c r="K1233" s="756"/>
      <c r="L1233" s="758"/>
      <c r="M1233" s="758"/>
      <c r="N1233" s="758"/>
      <c r="O1233" s="758"/>
      <c r="P1233" s="758"/>
      <c r="Q1233" s="758"/>
      <c r="T1233" s="758"/>
      <c r="U1233" s="758"/>
      <c r="V1233" s="760"/>
      <c r="W1233" s="758"/>
      <c r="X1233" s="758"/>
    </row>
    <row r="1234" spans="1:24">
      <c r="A1234" s="755"/>
      <c r="B1234" s="755"/>
      <c r="C1234" s="756"/>
      <c r="D1234" s="755"/>
      <c r="E1234" s="755"/>
      <c r="F1234" s="756"/>
      <c r="G1234" s="755"/>
      <c r="H1234" s="755"/>
      <c r="I1234" s="757"/>
      <c r="J1234" s="755"/>
      <c r="K1234" s="756"/>
      <c r="L1234" s="758"/>
      <c r="M1234" s="758"/>
      <c r="N1234" s="758"/>
      <c r="O1234" s="758"/>
      <c r="P1234" s="758"/>
      <c r="Q1234" s="758"/>
      <c r="T1234" s="758"/>
      <c r="U1234" s="758"/>
      <c r="V1234" s="760"/>
      <c r="W1234" s="758"/>
      <c r="X1234" s="758"/>
    </row>
  </sheetData>
  <mergeCells count="169">
    <mergeCell ref="A648:F648"/>
    <mergeCell ref="C622:D622"/>
    <mergeCell ref="I628:I631"/>
    <mergeCell ref="J628:J631"/>
    <mergeCell ref="I641:I642"/>
    <mergeCell ref="J641:J642"/>
    <mergeCell ref="A647:E647"/>
    <mergeCell ref="B601:B609"/>
    <mergeCell ref="E602:E604"/>
    <mergeCell ref="I602:I604"/>
    <mergeCell ref="J602:J604"/>
    <mergeCell ref="B613:B615"/>
    <mergeCell ref="B621:D621"/>
    <mergeCell ref="A575:C575"/>
    <mergeCell ref="A576:F576"/>
    <mergeCell ref="I581:I582"/>
    <mergeCell ref="J581:J582"/>
    <mergeCell ref="E594:E596"/>
    <mergeCell ref="I594:I596"/>
    <mergeCell ref="J594:J596"/>
    <mergeCell ref="E546:E547"/>
    <mergeCell ref="H546:H547"/>
    <mergeCell ref="I546:I547"/>
    <mergeCell ref="J546:J547"/>
    <mergeCell ref="E551:E552"/>
    <mergeCell ref="H551:H552"/>
    <mergeCell ref="I551:I552"/>
    <mergeCell ref="J551:J552"/>
    <mergeCell ref="H501:H504"/>
    <mergeCell ref="I501:I504"/>
    <mergeCell ref="J501:J504"/>
    <mergeCell ref="H513:H514"/>
    <mergeCell ref="I513:I514"/>
    <mergeCell ref="J513:J514"/>
    <mergeCell ref="E490:E491"/>
    <mergeCell ref="H490:H491"/>
    <mergeCell ref="I490:I491"/>
    <mergeCell ref="J490:J491"/>
    <mergeCell ref="E495:E496"/>
    <mergeCell ref="H495:H497"/>
    <mergeCell ref="I495:I497"/>
    <mergeCell ref="J495:J497"/>
    <mergeCell ref="H478:H479"/>
    <mergeCell ref="I478:I479"/>
    <mergeCell ref="J478:J479"/>
    <mergeCell ref="H485:H486"/>
    <mergeCell ref="I485:I486"/>
    <mergeCell ref="J485:J486"/>
    <mergeCell ref="E470:E472"/>
    <mergeCell ref="H470:H472"/>
    <mergeCell ref="I470:I472"/>
    <mergeCell ref="J470:J472"/>
    <mergeCell ref="H476:H477"/>
    <mergeCell ref="I476:I477"/>
    <mergeCell ref="J476:J477"/>
    <mergeCell ref="H457:H460"/>
    <mergeCell ref="I457:I460"/>
    <mergeCell ref="J457:J460"/>
    <mergeCell ref="H464:H466"/>
    <mergeCell ref="I464:I466"/>
    <mergeCell ref="J464:J466"/>
    <mergeCell ref="H444:H446"/>
    <mergeCell ref="I444:I446"/>
    <mergeCell ref="J444:J446"/>
    <mergeCell ref="E452:E453"/>
    <mergeCell ref="H452:H453"/>
    <mergeCell ref="I452:I453"/>
    <mergeCell ref="J452:J453"/>
    <mergeCell ref="H382:H383"/>
    <mergeCell ref="I382:I383"/>
    <mergeCell ref="J382:J383"/>
    <mergeCell ref="H431:H434"/>
    <mergeCell ref="I431:I434"/>
    <mergeCell ref="J431:J434"/>
    <mergeCell ref="H352:H353"/>
    <mergeCell ref="I352:I353"/>
    <mergeCell ref="J352:J353"/>
    <mergeCell ref="H365:H366"/>
    <mergeCell ref="I365:I366"/>
    <mergeCell ref="J365:J366"/>
    <mergeCell ref="H324:H329"/>
    <mergeCell ref="I324:I329"/>
    <mergeCell ref="J324:J329"/>
    <mergeCell ref="H343:H345"/>
    <mergeCell ref="I343:I345"/>
    <mergeCell ref="J343:J345"/>
    <mergeCell ref="C295:G295"/>
    <mergeCell ref="H307:H309"/>
    <mergeCell ref="I307:I309"/>
    <mergeCell ref="J307:J309"/>
    <mergeCell ref="H313:H314"/>
    <mergeCell ref="I313:I314"/>
    <mergeCell ref="J313:J314"/>
    <mergeCell ref="C268:D268"/>
    <mergeCell ref="H271:H272"/>
    <mergeCell ref="I271:I272"/>
    <mergeCell ref="J271:J272"/>
    <mergeCell ref="H280:H281"/>
    <mergeCell ref="I280:I281"/>
    <mergeCell ref="J280:J281"/>
    <mergeCell ref="H254:H256"/>
    <mergeCell ref="I254:I256"/>
    <mergeCell ref="J254:J256"/>
    <mergeCell ref="H260:H262"/>
    <mergeCell ref="I260:I262"/>
    <mergeCell ref="J260:J262"/>
    <mergeCell ref="H243:H244"/>
    <mergeCell ref="I243:I244"/>
    <mergeCell ref="J243:J244"/>
    <mergeCell ref="H245:H246"/>
    <mergeCell ref="I245:I246"/>
    <mergeCell ref="J245:J246"/>
    <mergeCell ref="H212:H213"/>
    <mergeCell ref="I212:I213"/>
    <mergeCell ref="J212:J213"/>
    <mergeCell ref="H233:H235"/>
    <mergeCell ref="I233:I235"/>
    <mergeCell ref="J233:J235"/>
    <mergeCell ref="H201:H202"/>
    <mergeCell ref="I201:I202"/>
    <mergeCell ref="J201:J202"/>
    <mergeCell ref="E206:E208"/>
    <mergeCell ref="H206:H208"/>
    <mergeCell ref="I206:I208"/>
    <mergeCell ref="J206:J208"/>
    <mergeCell ref="H170:H172"/>
    <mergeCell ref="I170:I172"/>
    <mergeCell ref="J170:J172"/>
    <mergeCell ref="H190:H191"/>
    <mergeCell ref="I190:I191"/>
    <mergeCell ref="J190:J191"/>
    <mergeCell ref="H131:H134"/>
    <mergeCell ref="I131:I134"/>
    <mergeCell ref="J131:J134"/>
    <mergeCell ref="AA131:AA134"/>
    <mergeCell ref="H152:H155"/>
    <mergeCell ref="I152:I155"/>
    <mergeCell ref="J152:J155"/>
    <mergeCell ref="H116:H120"/>
    <mergeCell ref="I116:I120"/>
    <mergeCell ref="J116:J120"/>
    <mergeCell ref="H124:H125"/>
    <mergeCell ref="I124:I125"/>
    <mergeCell ref="J124:J125"/>
    <mergeCell ref="H103:H105"/>
    <mergeCell ref="I103:I105"/>
    <mergeCell ref="J103:J105"/>
    <mergeCell ref="H109:H110"/>
    <mergeCell ref="I109:I110"/>
    <mergeCell ref="J109:J110"/>
    <mergeCell ref="C58:D58"/>
    <mergeCell ref="H60:H62"/>
    <mergeCell ref="I60:I62"/>
    <mergeCell ref="J60:J62"/>
    <mergeCell ref="I77:I80"/>
    <mergeCell ref="J77:J80"/>
    <mergeCell ref="C36:D36"/>
    <mergeCell ref="H39:H40"/>
    <mergeCell ref="I39:I40"/>
    <mergeCell ref="J39:J40"/>
    <mergeCell ref="H44:H50"/>
    <mergeCell ref="I44:I50"/>
    <mergeCell ref="J44:J50"/>
    <mergeCell ref="A1:V4"/>
    <mergeCell ref="C5:D5"/>
    <mergeCell ref="F5:G5"/>
    <mergeCell ref="H11:H12"/>
    <mergeCell ref="I11:I12"/>
    <mergeCell ref="J11:J12"/>
  </mergeCells>
  <conditionalFormatting sqref="E334">
    <cfRule type="duplicateValues" dxfId="74" priority="3"/>
  </conditionalFormatting>
  <conditionalFormatting sqref="E319">
    <cfRule type="duplicateValues" dxfId="73" priority="2"/>
  </conditionalFormatting>
  <conditionalFormatting sqref="E426">
    <cfRule type="duplicateValues" dxfId="72" priority="1"/>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B45"/>
  <sheetViews>
    <sheetView showGridLines="0" topLeftCell="F8" zoomScale="55" zoomScaleNormal="55" workbookViewId="0">
      <pane xSplit="3" ySplit="8" topLeftCell="I31" activePane="bottomRight" state="frozen"/>
      <selection activeCell="F8" sqref="F8"/>
      <selection pane="topRight" activeCell="I8" sqref="I8"/>
      <selection pane="bottomLeft" activeCell="F16" sqref="F16"/>
      <selection pane="bottomRight" activeCell="N33" sqref="N33"/>
    </sheetView>
  </sheetViews>
  <sheetFormatPr baseColWidth="10" defaultRowHeight="15"/>
  <cols>
    <col min="1" max="1" width="11.42578125" style="826"/>
    <col min="2" max="2" width="48" style="901" bestFit="1" customWidth="1"/>
    <col min="3" max="3" width="33.42578125" style="901" bestFit="1" customWidth="1"/>
    <col min="4" max="4" width="29" style="902" customWidth="1"/>
    <col min="5" max="5" width="17.5703125" style="902" bestFit="1" customWidth="1"/>
    <col min="6" max="6" width="17.140625" style="826" customWidth="1"/>
    <col min="7" max="7" width="39.42578125" style="903" customWidth="1"/>
    <col min="8" max="8" width="24" style="904" customWidth="1"/>
    <col min="9" max="9" width="16.5703125" style="903" customWidth="1"/>
    <col min="10" max="10" width="23.5703125" style="906" customWidth="1"/>
    <col min="11" max="11" width="22" style="922" customWidth="1"/>
    <col min="12" max="12" width="44.5703125" style="908" customWidth="1"/>
    <col min="13" max="13" width="24.140625" style="909" customWidth="1"/>
    <col min="14" max="14" width="26.42578125" style="910" customWidth="1"/>
    <col min="15" max="15" width="14.42578125" style="911" customWidth="1"/>
    <col min="16" max="16" width="32.5703125" style="923" customWidth="1"/>
    <col min="17" max="17" width="27.42578125" style="919" customWidth="1"/>
    <col min="18" max="18" width="27.42578125" style="940" customWidth="1"/>
    <col min="19" max="19" width="40.85546875" style="826" customWidth="1"/>
    <col min="20" max="20" width="39.5703125" style="826" customWidth="1"/>
    <col min="21" max="21" width="81" style="914" customWidth="1"/>
    <col min="22" max="22" width="31.5703125" style="826" customWidth="1"/>
    <col min="23" max="252" width="11.42578125" style="826"/>
    <col min="253" max="253" width="6.5703125" style="826" customWidth="1"/>
    <col min="254" max="254" width="6.42578125" style="826" customWidth="1"/>
    <col min="255" max="255" width="16.5703125" style="826" customWidth="1"/>
    <col min="256" max="256" width="39.42578125" style="826" customWidth="1"/>
    <col min="257" max="257" width="21.5703125" style="826" customWidth="1"/>
    <col min="258" max="258" width="13.85546875" style="826" customWidth="1"/>
    <col min="259" max="259" width="13.42578125" style="826" customWidth="1"/>
    <col min="260" max="260" width="12.85546875" style="826" customWidth="1"/>
    <col min="261" max="261" width="29.5703125" style="826" customWidth="1"/>
    <col min="262" max="262" width="16.140625" style="826" customWidth="1"/>
    <col min="263" max="263" width="21.42578125" style="826" customWidth="1"/>
    <col min="264" max="264" width="21" style="826" customWidth="1"/>
    <col min="265" max="265" width="20.5703125" style="826" customWidth="1"/>
    <col min="266" max="266" width="30.85546875" style="826" customWidth="1"/>
    <col min="267" max="267" width="48" style="826" customWidth="1"/>
    <col min="268" max="508" width="11.42578125" style="826"/>
    <col min="509" max="509" width="6.5703125" style="826" customWidth="1"/>
    <col min="510" max="510" width="6.42578125" style="826" customWidth="1"/>
    <col min="511" max="511" width="16.5703125" style="826" customWidth="1"/>
    <col min="512" max="512" width="39.42578125" style="826" customWidth="1"/>
    <col min="513" max="513" width="21.5703125" style="826" customWidth="1"/>
    <col min="514" max="514" width="13.85546875" style="826" customWidth="1"/>
    <col min="515" max="515" width="13.42578125" style="826" customWidth="1"/>
    <col min="516" max="516" width="12.85546875" style="826" customWidth="1"/>
    <col min="517" max="517" width="29.5703125" style="826" customWidth="1"/>
    <col min="518" max="518" width="16.140625" style="826" customWidth="1"/>
    <col min="519" max="519" width="21.42578125" style="826" customWidth="1"/>
    <col min="520" max="520" width="21" style="826" customWidth="1"/>
    <col min="521" max="521" width="20.5703125" style="826" customWidth="1"/>
    <col min="522" max="522" width="30.85546875" style="826" customWidth="1"/>
    <col min="523" max="523" width="48" style="826" customWidth="1"/>
    <col min="524" max="764" width="11.42578125" style="826"/>
    <col min="765" max="765" width="6.5703125" style="826" customWidth="1"/>
    <col min="766" max="766" width="6.42578125" style="826" customWidth="1"/>
    <col min="767" max="767" width="16.5703125" style="826" customWidth="1"/>
    <col min="768" max="768" width="39.42578125" style="826" customWidth="1"/>
    <col min="769" max="769" width="21.5703125" style="826" customWidth="1"/>
    <col min="770" max="770" width="13.85546875" style="826" customWidth="1"/>
    <col min="771" max="771" width="13.42578125" style="826" customWidth="1"/>
    <col min="772" max="772" width="12.85546875" style="826" customWidth="1"/>
    <col min="773" max="773" width="29.5703125" style="826" customWidth="1"/>
    <col min="774" max="774" width="16.140625" style="826" customWidth="1"/>
    <col min="775" max="775" width="21.42578125" style="826" customWidth="1"/>
    <col min="776" max="776" width="21" style="826" customWidth="1"/>
    <col min="777" max="777" width="20.5703125" style="826" customWidth="1"/>
    <col min="778" max="778" width="30.85546875" style="826" customWidth="1"/>
    <col min="779" max="779" width="48" style="826" customWidth="1"/>
    <col min="780" max="1020" width="11.42578125" style="826"/>
    <col min="1021" max="1021" width="6.5703125" style="826" customWidth="1"/>
    <col min="1022" max="1022" width="6.42578125" style="826" customWidth="1"/>
    <col min="1023" max="1023" width="16.5703125" style="826" customWidth="1"/>
    <col min="1024" max="1024" width="39.42578125" style="826" customWidth="1"/>
    <col min="1025" max="1025" width="21.5703125" style="826" customWidth="1"/>
    <col min="1026" max="1026" width="13.85546875" style="826" customWidth="1"/>
    <col min="1027" max="1027" width="13.42578125" style="826" customWidth="1"/>
    <col min="1028" max="1028" width="12.85546875" style="826" customWidth="1"/>
    <col min="1029" max="1029" width="29.5703125" style="826" customWidth="1"/>
    <col min="1030" max="1030" width="16.140625" style="826" customWidth="1"/>
    <col min="1031" max="1031" width="21.42578125" style="826" customWidth="1"/>
    <col min="1032" max="1032" width="21" style="826" customWidth="1"/>
    <col min="1033" max="1033" width="20.5703125" style="826" customWidth="1"/>
    <col min="1034" max="1034" width="30.85546875" style="826" customWidth="1"/>
    <col min="1035" max="1035" width="48" style="826" customWidth="1"/>
    <col min="1036" max="1276" width="11.42578125" style="826"/>
    <col min="1277" max="1277" width="6.5703125" style="826" customWidth="1"/>
    <col min="1278" max="1278" width="6.42578125" style="826" customWidth="1"/>
    <col min="1279" max="1279" width="16.5703125" style="826" customWidth="1"/>
    <col min="1280" max="1280" width="39.42578125" style="826" customWidth="1"/>
    <col min="1281" max="1281" width="21.5703125" style="826" customWidth="1"/>
    <col min="1282" max="1282" width="13.85546875" style="826" customWidth="1"/>
    <col min="1283" max="1283" width="13.42578125" style="826" customWidth="1"/>
    <col min="1284" max="1284" width="12.85546875" style="826" customWidth="1"/>
    <col min="1285" max="1285" width="29.5703125" style="826" customWidth="1"/>
    <col min="1286" max="1286" width="16.140625" style="826" customWidth="1"/>
    <col min="1287" max="1287" width="21.42578125" style="826" customWidth="1"/>
    <col min="1288" max="1288" width="21" style="826" customWidth="1"/>
    <col min="1289" max="1289" width="20.5703125" style="826" customWidth="1"/>
    <col min="1290" max="1290" width="30.85546875" style="826" customWidth="1"/>
    <col min="1291" max="1291" width="48" style="826" customWidth="1"/>
    <col min="1292" max="1532" width="11.42578125" style="826"/>
    <col min="1533" max="1533" width="6.5703125" style="826" customWidth="1"/>
    <col min="1534" max="1534" width="6.42578125" style="826" customWidth="1"/>
    <col min="1535" max="1535" width="16.5703125" style="826" customWidth="1"/>
    <col min="1536" max="1536" width="39.42578125" style="826" customWidth="1"/>
    <col min="1537" max="1537" width="21.5703125" style="826" customWidth="1"/>
    <col min="1538" max="1538" width="13.85546875" style="826" customWidth="1"/>
    <col min="1539" max="1539" width="13.42578125" style="826" customWidth="1"/>
    <col min="1540" max="1540" width="12.85546875" style="826" customWidth="1"/>
    <col min="1541" max="1541" width="29.5703125" style="826" customWidth="1"/>
    <col min="1542" max="1542" width="16.140625" style="826" customWidth="1"/>
    <col min="1543" max="1543" width="21.42578125" style="826" customWidth="1"/>
    <col min="1544" max="1544" width="21" style="826" customWidth="1"/>
    <col min="1545" max="1545" width="20.5703125" style="826" customWidth="1"/>
    <col min="1546" max="1546" width="30.85546875" style="826" customWidth="1"/>
    <col min="1547" max="1547" width="48" style="826" customWidth="1"/>
    <col min="1548" max="1788" width="11.42578125" style="826"/>
    <col min="1789" max="1789" width="6.5703125" style="826" customWidth="1"/>
    <col min="1790" max="1790" width="6.42578125" style="826" customWidth="1"/>
    <col min="1791" max="1791" width="16.5703125" style="826" customWidth="1"/>
    <col min="1792" max="1792" width="39.42578125" style="826" customWidth="1"/>
    <col min="1793" max="1793" width="21.5703125" style="826" customWidth="1"/>
    <col min="1794" max="1794" width="13.85546875" style="826" customWidth="1"/>
    <col min="1795" max="1795" width="13.42578125" style="826" customWidth="1"/>
    <col min="1796" max="1796" width="12.85546875" style="826" customWidth="1"/>
    <col min="1797" max="1797" width="29.5703125" style="826" customWidth="1"/>
    <col min="1798" max="1798" width="16.140625" style="826" customWidth="1"/>
    <col min="1799" max="1799" width="21.42578125" style="826" customWidth="1"/>
    <col min="1800" max="1800" width="21" style="826" customWidth="1"/>
    <col min="1801" max="1801" width="20.5703125" style="826" customWidth="1"/>
    <col min="1802" max="1802" width="30.85546875" style="826" customWidth="1"/>
    <col min="1803" max="1803" width="48" style="826" customWidth="1"/>
    <col min="1804" max="2044" width="11.42578125" style="826"/>
    <col min="2045" max="2045" width="6.5703125" style="826" customWidth="1"/>
    <col min="2046" max="2046" width="6.42578125" style="826" customWidth="1"/>
    <col min="2047" max="2047" width="16.5703125" style="826" customWidth="1"/>
    <col min="2048" max="2048" width="39.42578125" style="826" customWidth="1"/>
    <col min="2049" max="2049" width="21.5703125" style="826" customWidth="1"/>
    <col min="2050" max="2050" width="13.85546875" style="826" customWidth="1"/>
    <col min="2051" max="2051" width="13.42578125" style="826" customWidth="1"/>
    <col min="2052" max="2052" width="12.85546875" style="826" customWidth="1"/>
    <col min="2053" max="2053" width="29.5703125" style="826" customWidth="1"/>
    <col min="2054" max="2054" width="16.140625" style="826" customWidth="1"/>
    <col min="2055" max="2055" width="21.42578125" style="826" customWidth="1"/>
    <col min="2056" max="2056" width="21" style="826" customWidth="1"/>
    <col min="2057" max="2057" width="20.5703125" style="826" customWidth="1"/>
    <col min="2058" max="2058" width="30.85546875" style="826" customWidth="1"/>
    <col min="2059" max="2059" width="48" style="826" customWidth="1"/>
    <col min="2060" max="2300" width="11.42578125" style="826"/>
    <col min="2301" max="2301" width="6.5703125" style="826" customWidth="1"/>
    <col min="2302" max="2302" width="6.42578125" style="826" customWidth="1"/>
    <col min="2303" max="2303" width="16.5703125" style="826" customWidth="1"/>
    <col min="2304" max="2304" width="39.42578125" style="826" customWidth="1"/>
    <col min="2305" max="2305" width="21.5703125" style="826" customWidth="1"/>
    <col min="2306" max="2306" width="13.85546875" style="826" customWidth="1"/>
    <col min="2307" max="2307" width="13.42578125" style="826" customWidth="1"/>
    <col min="2308" max="2308" width="12.85546875" style="826" customWidth="1"/>
    <col min="2309" max="2309" width="29.5703125" style="826" customWidth="1"/>
    <col min="2310" max="2310" width="16.140625" style="826" customWidth="1"/>
    <col min="2311" max="2311" width="21.42578125" style="826" customWidth="1"/>
    <col min="2312" max="2312" width="21" style="826" customWidth="1"/>
    <col min="2313" max="2313" width="20.5703125" style="826" customWidth="1"/>
    <col min="2314" max="2314" width="30.85546875" style="826" customWidth="1"/>
    <col min="2315" max="2315" width="48" style="826" customWidth="1"/>
    <col min="2316" max="2556" width="11.42578125" style="826"/>
    <col min="2557" max="2557" width="6.5703125" style="826" customWidth="1"/>
    <col min="2558" max="2558" width="6.42578125" style="826" customWidth="1"/>
    <col min="2559" max="2559" width="16.5703125" style="826" customWidth="1"/>
    <col min="2560" max="2560" width="39.42578125" style="826" customWidth="1"/>
    <col min="2561" max="2561" width="21.5703125" style="826" customWidth="1"/>
    <col min="2562" max="2562" width="13.85546875" style="826" customWidth="1"/>
    <col min="2563" max="2563" width="13.42578125" style="826" customWidth="1"/>
    <col min="2564" max="2564" width="12.85546875" style="826" customWidth="1"/>
    <col min="2565" max="2565" width="29.5703125" style="826" customWidth="1"/>
    <col min="2566" max="2566" width="16.140625" style="826" customWidth="1"/>
    <col min="2567" max="2567" width="21.42578125" style="826" customWidth="1"/>
    <col min="2568" max="2568" width="21" style="826" customWidth="1"/>
    <col min="2569" max="2569" width="20.5703125" style="826" customWidth="1"/>
    <col min="2570" max="2570" width="30.85546875" style="826" customWidth="1"/>
    <col min="2571" max="2571" width="48" style="826" customWidth="1"/>
    <col min="2572" max="2812" width="11.42578125" style="826"/>
    <col min="2813" max="2813" width="6.5703125" style="826" customWidth="1"/>
    <col min="2814" max="2814" width="6.42578125" style="826" customWidth="1"/>
    <col min="2815" max="2815" width="16.5703125" style="826" customWidth="1"/>
    <col min="2816" max="2816" width="39.42578125" style="826" customWidth="1"/>
    <col min="2817" max="2817" width="21.5703125" style="826" customWidth="1"/>
    <col min="2818" max="2818" width="13.85546875" style="826" customWidth="1"/>
    <col min="2819" max="2819" width="13.42578125" style="826" customWidth="1"/>
    <col min="2820" max="2820" width="12.85546875" style="826" customWidth="1"/>
    <col min="2821" max="2821" width="29.5703125" style="826" customWidth="1"/>
    <col min="2822" max="2822" width="16.140625" style="826" customWidth="1"/>
    <col min="2823" max="2823" width="21.42578125" style="826" customWidth="1"/>
    <col min="2824" max="2824" width="21" style="826" customWidth="1"/>
    <col min="2825" max="2825" width="20.5703125" style="826" customWidth="1"/>
    <col min="2826" max="2826" width="30.85546875" style="826" customWidth="1"/>
    <col min="2827" max="2827" width="48" style="826" customWidth="1"/>
    <col min="2828" max="3068" width="11.42578125" style="826"/>
    <col min="3069" max="3069" width="6.5703125" style="826" customWidth="1"/>
    <col min="3070" max="3070" width="6.42578125" style="826" customWidth="1"/>
    <col min="3071" max="3071" width="16.5703125" style="826" customWidth="1"/>
    <col min="3072" max="3072" width="39.42578125" style="826" customWidth="1"/>
    <col min="3073" max="3073" width="21.5703125" style="826" customWidth="1"/>
    <col min="3074" max="3074" width="13.85546875" style="826" customWidth="1"/>
    <col min="3075" max="3075" width="13.42578125" style="826" customWidth="1"/>
    <col min="3076" max="3076" width="12.85546875" style="826" customWidth="1"/>
    <col min="3077" max="3077" width="29.5703125" style="826" customWidth="1"/>
    <col min="3078" max="3078" width="16.140625" style="826" customWidth="1"/>
    <col min="3079" max="3079" width="21.42578125" style="826" customWidth="1"/>
    <col min="3080" max="3080" width="21" style="826" customWidth="1"/>
    <col min="3081" max="3081" width="20.5703125" style="826" customWidth="1"/>
    <col min="3082" max="3082" width="30.85546875" style="826" customWidth="1"/>
    <col min="3083" max="3083" width="48" style="826" customWidth="1"/>
    <col min="3084" max="3324" width="11.42578125" style="826"/>
    <col min="3325" max="3325" width="6.5703125" style="826" customWidth="1"/>
    <col min="3326" max="3326" width="6.42578125" style="826" customWidth="1"/>
    <col min="3327" max="3327" width="16.5703125" style="826" customWidth="1"/>
    <col min="3328" max="3328" width="39.42578125" style="826" customWidth="1"/>
    <col min="3329" max="3329" width="21.5703125" style="826" customWidth="1"/>
    <col min="3330" max="3330" width="13.85546875" style="826" customWidth="1"/>
    <col min="3331" max="3331" width="13.42578125" style="826" customWidth="1"/>
    <col min="3332" max="3332" width="12.85546875" style="826" customWidth="1"/>
    <col min="3333" max="3333" width="29.5703125" style="826" customWidth="1"/>
    <col min="3334" max="3334" width="16.140625" style="826" customWidth="1"/>
    <col min="3335" max="3335" width="21.42578125" style="826" customWidth="1"/>
    <col min="3336" max="3336" width="21" style="826" customWidth="1"/>
    <col min="3337" max="3337" width="20.5703125" style="826" customWidth="1"/>
    <col min="3338" max="3338" width="30.85546875" style="826" customWidth="1"/>
    <col min="3339" max="3339" width="48" style="826" customWidth="1"/>
    <col min="3340" max="3580" width="11.42578125" style="826"/>
    <col min="3581" max="3581" width="6.5703125" style="826" customWidth="1"/>
    <col min="3582" max="3582" width="6.42578125" style="826" customWidth="1"/>
    <col min="3583" max="3583" width="16.5703125" style="826" customWidth="1"/>
    <col min="3584" max="3584" width="39.42578125" style="826" customWidth="1"/>
    <col min="3585" max="3585" width="21.5703125" style="826" customWidth="1"/>
    <col min="3586" max="3586" width="13.85546875" style="826" customWidth="1"/>
    <col min="3587" max="3587" width="13.42578125" style="826" customWidth="1"/>
    <col min="3588" max="3588" width="12.85546875" style="826" customWidth="1"/>
    <col min="3589" max="3589" width="29.5703125" style="826" customWidth="1"/>
    <col min="3590" max="3590" width="16.140625" style="826" customWidth="1"/>
    <col min="3591" max="3591" width="21.42578125" style="826" customWidth="1"/>
    <col min="3592" max="3592" width="21" style="826" customWidth="1"/>
    <col min="3593" max="3593" width="20.5703125" style="826" customWidth="1"/>
    <col min="3594" max="3594" width="30.85546875" style="826" customWidth="1"/>
    <col min="3595" max="3595" width="48" style="826" customWidth="1"/>
    <col min="3596" max="3836" width="11.42578125" style="826"/>
    <col min="3837" max="3837" width="6.5703125" style="826" customWidth="1"/>
    <col min="3838" max="3838" width="6.42578125" style="826" customWidth="1"/>
    <col min="3839" max="3839" width="16.5703125" style="826" customWidth="1"/>
    <col min="3840" max="3840" width="39.42578125" style="826" customWidth="1"/>
    <col min="3841" max="3841" width="21.5703125" style="826" customWidth="1"/>
    <col min="3842" max="3842" width="13.85546875" style="826" customWidth="1"/>
    <col min="3843" max="3843" width="13.42578125" style="826" customWidth="1"/>
    <col min="3844" max="3844" width="12.85546875" style="826" customWidth="1"/>
    <col min="3845" max="3845" width="29.5703125" style="826" customWidth="1"/>
    <col min="3846" max="3846" width="16.140625" style="826" customWidth="1"/>
    <col min="3847" max="3847" width="21.42578125" style="826" customWidth="1"/>
    <col min="3848" max="3848" width="21" style="826" customWidth="1"/>
    <col min="3849" max="3849" width="20.5703125" style="826" customWidth="1"/>
    <col min="3850" max="3850" width="30.85546875" style="826" customWidth="1"/>
    <col min="3851" max="3851" width="48" style="826" customWidth="1"/>
    <col min="3852" max="4092" width="11.42578125" style="826"/>
    <col min="4093" max="4093" width="6.5703125" style="826" customWidth="1"/>
    <col min="4094" max="4094" width="6.42578125" style="826" customWidth="1"/>
    <col min="4095" max="4095" width="16.5703125" style="826" customWidth="1"/>
    <col min="4096" max="4096" width="39.42578125" style="826" customWidth="1"/>
    <col min="4097" max="4097" width="21.5703125" style="826" customWidth="1"/>
    <col min="4098" max="4098" width="13.85546875" style="826" customWidth="1"/>
    <col min="4099" max="4099" width="13.42578125" style="826" customWidth="1"/>
    <col min="4100" max="4100" width="12.85546875" style="826" customWidth="1"/>
    <col min="4101" max="4101" width="29.5703125" style="826" customWidth="1"/>
    <col min="4102" max="4102" width="16.140625" style="826" customWidth="1"/>
    <col min="4103" max="4103" width="21.42578125" style="826" customWidth="1"/>
    <col min="4104" max="4104" width="21" style="826" customWidth="1"/>
    <col min="4105" max="4105" width="20.5703125" style="826" customWidth="1"/>
    <col min="4106" max="4106" width="30.85546875" style="826" customWidth="1"/>
    <col min="4107" max="4107" width="48" style="826" customWidth="1"/>
    <col min="4108" max="4348" width="11.42578125" style="826"/>
    <col min="4349" max="4349" width="6.5703125" style="826" customWidth="1"/>
    <col min="4350" max="4350" width="6.42578125" style="826" customWidth="1"/>
    <col min="4351" max="4351" width="16.5703125" style="826" customWidth="1"/>
    <col min="4352" max="4352" width="39.42578125" style="826" customWidth="1"/>
    <col min="4353" max="4353" width="21.5703125" style="826" customWidth="1"/>
    <col min="4354" max="4354" width="13.85546875" style="826" customWidth="1"/>
    <col min="4355" max="4355" width="13.42578125" style="826" customWidth="1"/>
    <col min="4356" max="4356" width="12.85546875" style="826" customWidth="1"/>
    <col min="4357" max="4357" width="29.5703125" style="826" customWidth="1"/>
    <col min="4358" max="4358" width="16.140625" style="826" customWidth="1"/>
    <col min="4359" max="4359" width="21.42578125" style="826" customWidth="1"/>
    <col min="4360" max="4360" width="21" style="826" customWidth="1"/>
    <col min="4361" max="4361" width="20.5703125" style="826" customWidth="1"/>
    <col min="4362" max="4362" width="30.85546875" style="826" customWidth="1"/>
    <col min="4363" max="4363" width="48" style="826" customWidth="1"/>
    <col min="4364" max="4604" width="11.42578125" style="826"/>
    <col min="4605" max="4605" width="6.5703125" style="826" customWidth="1"/>
    <col min="4606" max="4606" width="6.42578125" style="826" customWidth="1"/>
    <col min="4607" max="4607" width="16.5703125" style="826" customWidth="1"/>
    <col min="4608" max="4608" width="39.42578125" style="826" customWidth="1"/>
    <col min="4609" max="4609" width="21.5703125" style="826" customWidth="1"/>
    <col min="4610" max="4610" width="13.85546875" style="826" customWidth="1"/>
    <col min="4611" max="4611" width="13.42578125" style="826" customWidth="1"/>
    <col min="4612" max="4612" width="12.85546875" style="826" customWidth="1"/>
    <col min="4613" max="4613" width="29.5703125" style="826" customWidth="1"/>
    <col min="4614" max="4614" width="16.140625" style="826" customWidth="1"/>
    <col min="4615" max="4615" width="21.42578125" style="826" customWidth="1"/>
    <col min="4616" max="4616" width="21" style="826" customWidth="1"/>
    <col min="4617" max="4617" width="20.5703125" style="826" customWidth="1"/>
    <col min="4618" max="4618" width="30.85546875" style="826" customWidth="1"/>
    <col min="4619" max="4619" width="48" style="826" customWidth="1"/>
    <col min="4620" max="4860" width="11.42578125" style="826"/>
    <col min="4861" max="4861" width="6.5703125" style="826" customWidth="1"/>
    <col min="4862" max="4862" width="6.42578125" style="826" customWidth="1"/>
    <col min="4863" max="4863" width="16.5703125" style="826" customWidth="1"/>
    <col min="4864" max="4864" width="39.42578125" style="826" customWidth="1"/>
    <col min="4865" max="4865" width="21.5703125" style="826" customWidth="1"/>
    <col min="4866" max="4866" width="13.85546875" style="826" customWidth="1"/>
    <col min="4867" max="4867" width="13.42578125" style="826" customWidth="1"/>
    <col min="4868" max="4868" width="12.85546875" style="826" customWidth="1"/>
    <col min="4869" max="4869" width="29.5703125" style="826" customWidth="1"/>
    <col min="4870" max="4870" width="16.140625" style="826" customWidth="1"/>
    <col min="4871" max="4871" width="21.42578125" style="826" customWidth="1"/>
    <col min="4872" max="4872" width="21" style="826" customWidth="1"/>
    <col min="4873" max="4873" width="20.5703125" style="826" customWidth="1"/>
    <col min="4874" max="4874" width="30.85546875" style="826" customWidth="1"/>
    <col min="4875" max="4875" width="48" style="826" customWidth="1"/>
    <col min="4876" max="5116" width="11.42578125" style="826"/>
    <col min="5117" max="5117" width="6.5703125" style="826" customWidth="1"/>
    <col min="5118" max="5118" width="6.42578125" style="826" customWidth="1"/>
    <col min="5119" max="5119" width="16.5703125" style="826" customWidth="1"/>
    <col min="5120" max="5120" width="39.42578125" style="826" customWidth="1"/>
    <col min="5121" max="5121" width="21.5703125" style="826" customWidth="1"/>
    <col min="5122" max="5122" width="13.85546875" style="826" customWidth="1"/>
    <col min="5123" max="5123" width="13.42578125" style="826" customWidth="1"/>
    <col min="5124" max="5124" width="12.85546875" style="826" customWidth="1"/>
    <col min="5125" max="5125" width="29.5703125" style="826" customWidth="1"/>
    <col min="5126" max="5126" width="16.140625" style="826" customWidth="1"/>
    <col min="5127" max="5127" width="21.42578125" style="826" customWidth="1"/>
    <col min="5128" max="5128" width="21" style="826" customWidth="1"/>
    <col min="5129" max="5129" width="20.5703125" style="826" customWidth="1"/>
    <col min="5130" max="5130" width="30.85546875" style="826" customWidth="1"/>
    <col min="5131" max="5131" width="48" style="826" customWidth="1"/>
    <col min="5132" max="5372" width="11.42578125" style="826"/>
    <col min="5373" max="5373" width="6.5703125" style="826" customWidth="1"/>
    <col min="5374" max="5374" width="6.42578125" style="826" customWidth="1"/>
    <col min="5375" max="5375" width="16.5703125" style="826" customWidth="1"/>
    <col min="5376" max="5376" width="39.42578125" style="826" customWidth="1"/>
    <col min="5377" max="5377" width="21.5703125" style="826" customWidth="1"/>
    <col min="5378" max="5378" width="13.85546875" style="826" customWidth="1"/>
    <col min="5379" max="5379" width="13.42578125" style="826" customWidth="1"/>
    <col min="5380" max="5380" width="12.85546875" style="826" customWidth="1"/>
    <col min="5381" max="5381" width="29.5703125" style="826" customWidth="1"/>
    <col min="5382" max="5382" width="16.140625" style="826" customWidth="1"/>
    <col min="5383" max="5383" width="21.42578125" style="826" customWidth="1"/>
    <col min="5384" max="5384" width="21" style="826" customWidth="1"/>
    <col min="5385" max="5385" width="20.5703125" style="826" customWidth="1"/>
    <col min="5386" max="5386" width="30.85546875" style="826" customWidth="1"/>
    <col min="5387" max="5387" width="48" style="826" customWidth="1"/>
    <col min="5388" max="5628" width="11.42578125" style="826"/>
    <col min="5629" max="5629" width="6.5703125" style="826" customWidth="1"/>
    <col min="5630" max="5630" width="6.42578125" style="826" customWidth="1"/>
    <col min="5631" max="5631" width="16.5703125" style="826" customWidth="1"/>
    <col min="5632" max="5632" width="39.42578125" style="826" customWidth="1"/>
    <col min="5633" max="5633" width="21.5703125" style="826" customWidth="1"/>
    <col min="5634" max="5634" width="13.85546875" style="826" customWidth="1"/>
    <col min="5635" max="5635" width="13.42578125" style="826" customWidth="1"/>
    <col min="5636" max="5636" width="12.85546875" style="826" customWidth="1"/>
    <col min="5637" max="5637" width="29.5703125" style="826" customWidth="1"/>
    <col min="5638" max="5638" width="16.140625" style="826" customWidth="1"/>
    <col min="5639" max="5639" width="21.42578125" style="826" customWidth="1"/>
    <col min="5640" max="5640" width="21" style="826" customWidth="1"/>
    <col min="5641" max="5641" width="20.5703125" style="826" customWidth="1"/>
    <col min="5642" max="5642" width="30.85546875" style="826" customWidth="1"/>
    <col min="5643" max="5643" width="48" style="826" customWidth="1"/>
    <col min="5644" max="5884" width="11.42578125" style="826"/>
    <col min="5885" max="5885" width="6.5703125" style="826" customWidth="1"/>
    <col min="5886" max="5886" width="6.42578125" style="826" customWidth="1"/>
    <col min="5887" max="5887" width="16.5703125" style="826" customWidth="1"/>
    <col min="5888" max="5888" width="39.42578125" style="826" customWidth="1"/>
    <col min="5889" max="5889" width="21.5703125" style="826" customWidth="1"/>
    <col min="5890" max="5890" width="13.85546875" style="826" customWidth="1"/>
    <col min="5891" max="5891" width="13.42578125" style="826" customWidth="1"/>
    <col min="5892" max="5892" width="12.85546875" style="826" customWidth="1"/>
    <col min="5893" max="5893" width="29.5703125" style="826" customWidth="1"/>
    <col min="5894" max="5894" width="16.140625" style="826" customWidth="1"/>
    <col min="5895" max="5895" width="21.42578125" style="826" customWidth="1"/>
    <col min="5896" max="5896" width="21" style="826" customWidth="1"/>
    <col min="5897" max="5897" width="20.5703125" style="826" customWidth="1"/>
    <col min="5898" max="5898" width="30.85546875" style="826" customWidth="1"/>
    <col min="5899" max="5899" width="48" style="826" customWidth="1"/>
    <col min="5900" max="6140" width="11.42578125" style="826"/>
    <col min="6141" max="6141" width="6.5703125" style="826" customWidth="1"/>
    <col min="6142" max="6142" width="6.42578125" style="826" customWidth="1"/>
    <col min="6143" max="6143" width="16.5703125" style="826" customWidth="1"/>
    <col min="6144" max="6144" width="39.42578125" style="826" customWidth="1"/>
    <col min="6145" max="6145" width="21.5703125" style="826" customWidth="1"/>
    <col min="6146" max="6146" width="13.85546875" style="826" customWidth="1"/>
    <col min="6147" max="6147" width="13.42578125" style="826" customWidth="1"/>
    <col min="6148" max="6148" width="12.85546875" style="826" customWidth="1"/>
    <col min="6149" max="6149" width="29.5703125" style="826" customWidth="1"/>
    <col min="6150" max="6150" width="16.140625" style="826" customWidth="1"/>
    <col min="6151" max="6151" width="21.42578125" style="826" customWidth="1"/>
    <col min="6152" max="6152" width="21" style="826" customWidth="1"/>
    <col min="6153" max="6153" width="20.5703125" style="826" customWidth="1"/>
    <col min="6154" max="6154" width="30.85546875" style="826" customWidth="1"/>
    <col min="6155" max="6155" width="48" style="826" customWidth="1"/>
    <col min="6156" max="6396" width="11.42578125" style="826"/>
    <col min="6397" max="6397" width="6.5703125" style="826" customWidth="1"/>
    <col min="6398" max="6398" width="6.42578125" style="826" customWidth="1"/>
    <col min="6399" max="6399" width="16.5703125" style="826" customWidth="1"/>
    <col min="6400" max="6400" width="39.42578125" style="826" customWidth="1"/>
    <col min="6401" max="6401" width="21.5703125" style="826" customWidth="1"/>
    <col min="6402" max="6402" width="13.85546875" style="826" customWidth="1"/>
    <col min="6403" max="6403" width="13.42578125" style="826" customWidth="1"/>
    <col min="6404" max="6404" width="12.85546875" style="826" customWidth="1"/>
    <col min="6405" max="6405" width="29.5703125" style="826" customWidth="1"/>
    <col min="6406" max="6406" width="16.140625" style="826" customWidth="1"/>
    <col min="6407" max="6407" width="21.42578125" style="826" customWidth="1"/>
    <col min="6408" max="6408" width="21" style="826" customWidth="1"/>
    <col min="6409" max="6409" width="20.5703125" style="826" customWidth="1"/>
    <col min="6410" max="6410" width="30.85546875" style="826" customWidth="1"/>
    <col min="6411" max="6411" width="48" style="826" customWidth="1"/>
    <col min="6412" max="6652" width="11.42578125" style="826"/>
    <col min="6653" max="6653" width="6.5703125" style="826" customWidth="1"/>
    <col min="6654" max="6654" width="6.42578125" style="826" customWidth="1"/>
    <col min="6655" max="6655" width="16.5703125" style="826" customWidth="1"/>
    <col min="6656" max="6656" width="39.42578125" style="826" customWidth="1"/>
    <col min="6657" max="6657" width="21.5703125" style="826" customWidth="1"/>
    <col min="6658" max="6658" width="13.85546875" style="826" customWidth="1"/>
    <col min="6659" max="6659" width="13.42578125" style="826" customWidth="1"/>
    <col min="6660" max="6660" width="12.85546875" style="826" customWidth="1"/>
    <col min="6661" max="6661" width="29.5703125" style="826" customWidth="1"/>
    <col min="6662" max="6662" width="16.140625" style="826" customWidth="1"/>
    <col min="6663" max="6663" width="21.42578125" style="826" customWidth="1"/>
    <col min="6664" max="6664" width="21" style="826" customWidth="1"/>
    <col min="6665" max="6665" width="20.5703125" style="826" customWidth="1"/>
    <col min="6666" max="6666" width="30.85546875" style="826" customWidth="1"/>
    <col min="6667" max="6667" width="48" style="826" customWidth="1"/>
    <col min="6668" max="6908" width="11.42578125" style="826"/>
    <col min="6909" max="6909" width="6.5703125" style="826" customWidth="1"/>
    <col min="6910" max="6910" width="6.42578125" style="826" customWidth="1"/>
    <col min="6911" max="6911" width="16.5703125" style="826" customWidth="1"/>
    <col min="6912" max="6912" width="39.42578125" style="826" customWidth="1"/>
    <col min="6913" max="6913" width="21.5703125" style="826" customWidth="1"/>
    <col min="6914" max="6914" width="13.85546875" style="826" customWidth="1"/>
    <col min="6915" max="6915" width="13.42578125" style="826" customWidth="1"/>
    <col min="6916" max="6916" width="12.85546875" style="826" customWidth="1"/>
    <col min="6917" max="6917" width="29.5703125" style="826" customWidth="1"/>
    <col min="6918" max="6918" width="16.140625" style="826" customWidth="1"/>
    <col min="6919" max="6919" width="21.42578125" style="826" customWidth="1"/>
    <col min="6920" max="6920" width="21" style="826" customWidth="1"/>
    <col min="6921" max="6921" width="20.5703125" style="826" customWidth="1"/>
    <col min="6922" max="6922" width="30.85546875" style="826" customWidth="1"/>
    <col min="6923" max="6923" width="48" style="826" customWidth="1"/>
    <col min="6924" max="7164" width="11.42578125" style="826"/>
    <col min="7165" max="7165" width="6.5703125" style="826" customWidth="1"/>
    <col min="7166" max="7166" width="6.42578125" style="826" customWidth="1"/>
    <col min="7167" max="7167" width="16.5703125" style="826" customWidth="1"/>
    <col min="7168" max="7168" width="39.42578125" style="826" customWidth="1"/>
    <col min="7169" max="7169" width="21.5703125" style="826" customWidth="1"/>
    <col min="7170" max="7170" width="13.85546875" style="826" customWidth="1"/>
    <col min="7171" max="7171" width="13.42578125" style="826" customWidth="1"/>
    <col min="7172" max="7172" width="12.85546875" style="826" customWidth="1"/>
    <col min="7173" max="7173" width="29.5703125" style="826" customWidth="1"/>
    <col min="7174" max="7174" width="16.140625" style="826" customWidth="1"/>
    <col min="7175" max="7175" width="21.42578125" style="826" customWidth="1"/>
    <col min="7176" max="7176" width="21" style="826" customWidth="1"/>
    <col min="7177" max="7177" width="20.5703125" style="826" customWidth="1"/>
    <col min="7178" max="7178" width="30.85546875" style="826" customWidth="1"/>
    <col min="7179" max="7179" width="48" style="826" customWidth="1"/>
    <col min="7180" max="7420" width="11.42578125" style="826"/>
    <col min="7421" max="7421" width="6.5703125" style="826" customWidth="1"/>
    <col min="7422" max="7422" width="6.42578125" style="826" customWidth="1"/>
    <col min="7423" max="7423" width="16.5703125" style="826" customWidth="1"/>
    <col min="7424" max="7424" width="39.42578125" style="826" customWidth="1"/>
    <col min="7425" max="7425" width="21.5703125" style="826" customWidth="1"/>
    <col min="7426" max="7426" width="13.85546875" style="826" customWidth="1"/>
    <col min="7427" max="7427" width="13.42578125" style="826" customWidth="1"/>
    <col min="7428" max="7428" width="12.85546875" style="826" customWidth="1"/>
    <col min="7429" max="7429" width="29.5703125" style="826" customWidth="1"/>
    <col min="7430" max="7430" width="16.140625" style="826" customWidth="1"/>
    <col min="7431" max="7431" width="21.42578125" style="826" customWidth="1"/>
    <col min="7432" max="7432" width="21" style="826" customWidth="1"/>
    <col min="7433" max="7433" width="20.5703125" style="826" customWidth="1"/>
    <col min="7434" max="7434" width="30.85546875" style="826" customWidth="1"/>
    <col min="7435" max="7435" width="48" style="826" customWidth="1"/>
    <col min="7436" max="7676" width="11.42578125" style="826"/>
    <col min="7677" max="7677" width="6.5703125" style="826" customWidth="1"/>
    <col min="7678" max="7678" width="6.42578125" style="826" customWidth="1"/>
    <col min="7679" max="7679" width="16.5703125" style="826" customWidth="1"/>
    <col min="7680" max="7680" width="39.42578125" style="826" customWidth="1"/>
    <col min="7681" max="7681" width="21.5703125" style="826" customWidth="1"/>
    <col min="7682" max="7682" width="13.85546875" style="826" customWidth="1"/>
    <col min="7683" max="7683" width="13.42578125" style="826" customWidth="1"/>
    <col min="7684" max="7684" width="12.85546875" style="826" customWidth="1"/>
    <col min="7685" max="7685" width="29.5703125" style="826" customWidth="1"/>
    <col min="7686" max="7686" width="16.140625" style="826" customWidth="1"/>
    <col min="7687" max="7687" width="21.42578125" style="826" customWidth="1"/>
    <col min="7688" max="7688" width="21" style="826" customWidth="1"/>
    <col min="7689" max="7689" width="20.5703125" style="826" customWidth="1"/>
    <col min="7690" max="7690" width="30.85546875" style="826" customWidth="1"/>
    <col min="7691" max="7691" width="48" style="826" customWidth="1"/>
    <col min="7692" max="7932" width="11.42578125" style="826"/>
    <col min="7933" max="7933" width="6.5703125" style="826" customWidth="1"/>
    <col min="7934" max="7934" width="6.42578125" style="826" customWidth="1"/>
    <col min="7935" max="7935" width="16.5703125" style="826" customWidth="1"/>
    <col min="7936" max="7936" width="39.42578125" style="826" customWidth="1"/>
    <col min="7937" max="7937" width="21.5703125" style="826" customWidth="1"/>
    <col min="7938" max="7938" width="13.85546875" style="826" customWidth="1"/>
    <col min="7939" max="7939" width="13.42578125" style="826" customWidth="1"/>
    <col min="7940" max="7940" width="12.85546875" style="826" customWidth="1"/>
    <col min="7941" max="7941" width="29.5703125" style="826" customWidth="1"/>
    <col min="7942" max="7942" width="16.140625" style="826" customWidth="1"/>
    <col min="7943" max="7943" width="21.42578125" style="826" customWidth="1"/>
    <col min="7944" max="7944" width="21" style="826" customWidth="1"/>
    <col min="7945" max="7945" width="20.5703125" style="826" customWidth="1"/>
    <col min="7946" max="7946" width="30.85546875" style="826" customWidth="1"/>
    <col min="7947" max="7947" width="48" style="826" customWidth="1"/>
    <col min="7948" max="8188" width="11.42578125" style="826"/>
    <col min="8189" max="8189" width="6.5703125" style="826" customWidth="1"/>
    <col min="8190" max="8190" width="6.42578125" style="826" customWidth="1"/>
    <col min="8191" max="8191" width="16.5703125" style="826" customWidth="1"/>
    <col min="8192" max="8192" width="39.42578125" style="826" customWidth="1"/>
    <col min="8193" max="8193" width="21.5703125" style="826" customWidth="1"/>
    <col min="8194" max="8194" width="13.85546875" style="826" customWidth="1"/>
    <col min="8195" max="8195" width="13.42578125" style="826" customWidth="1"/>
    <col min="8196" max="8196" width="12.85546875" style="826" customWidth="1"/>
    <col min="8197" max="8197" width="29.5703125" style="826" customWidth="1"/>
    <col min="8198" max="8198" width="16.140625" style="826" customWidth="1"/>
    <col min="8199" max="8199" width="21.42578125" style="826" customWidth="1"/>
    <col min="8200" max="8200" width="21" style="826" customWidth="1"/>
    <col min="8201" max="8201" width="20.5703125" style="826" customWidth="1"/>
    <col min="8202" max="8202" width="30.85546875" style="826" customWidth="1"/>
    <col min="8203" max="8203" width="48" style="826" customWidth="1"/>
    <col min="8204" max="8444" width="11.42578125" style="826"/>
    <col min="8445" max="8445" width="6.5703125" style="826" customWidth="1"/>
    <col min="8446" max="8446" width="6.42578125" style="826" customWidth="1"/>
    <col min="8447" max="8447" width="16.5703125" style="826" customWidth="1"/>
    <col min="8448" max="8448" width="39.42578125" style="826" customWidth="1"/>
    <col min="8449" max="8449" width="21.5703125" style="826" customWidth="1"/>
    <col min="8450" max="8450" width="13.85546875" style="826" customWidth="1"/>
    <col min="8451" max="8451" width="13.42578125" style="826" customWidth="1"/>
    <col min="8452" max="8452" width="12.85546875" style="826" customWidth="1"/>
    <col min="8453" max="8453" width="29.5703125" style="826" customWidth="1"/>
    <col min="8454" max="8454" width="16.140625" style="826" customWidth="1"/>
    <col min="8455" max="8455" width="21.42578125" style="826" customWidth="1"/>
    <col min="8456" max="8456" width="21" style="826" customWidth="1"/>
    <col min="8457" max="8457" width="20.5703125" style="826" customWidth="1"/>
    <col min="8458" max="8458" width="30.85546875" style="826" customWidth="1"/>
    <col min="8459" max="8459" width="48" style="826" customWidth="1"/>
    <col min="8460" max="8700" width="11.42578125" style="826"/>
    <col min="8701" max="8701" width="6.5703125" style="826" customWidth="1"/>
    <col min="8702" max="8702" width="6.42578125" style="826" customWidth="1"/>
    <col min="8703" max="8703" width="16.5703125" style="826" customWidth="1"/>
    <col min="8704" max="8704" width="39.42578125" style="826" customWidth="1"/>
    <col min="8705" max="8705" width="21.5703125" style="826" customWidth="1"/>
    <col min="8706" max="8706" width="13.85546875" style="826" customWidth="1"/>
    <col min="8707" max="8707" width="13.42578125" style="826" customWidth="1"/>
    <col min="8708" max="8708" width="12.85546875" style="826" customWidth="1"/>
    <col min="8709" max="8709" width="29.5703125" style="826" customWidth="1"/>
    <col min="8710" max="8710" width="16.140625" style="826" customWidth="1"/>
    <col min="8711" max="8711" width="21.42578125" style="826" customWidth="1"/>
    <col min="8712" max="8712" width="21" style="826" customWidth="1"/>
    <col min="8713" max="8713" width="20.5703125" style="826" customWidth="1"/>
    <col min="8714" max="8714" width="30.85546875" style="826" customWidth="1"/>
    <col min="8715" max="8715" width="48" style="826" customWidth="1"/>
    <col min="8716" max="8956" width="11.42578125" style="826"/>
    <col min="8957" max="8957" width="6.5703125" style="826" customWidth="1"/>
    <col min="8958" max="8958" width="6.42578125" style="826" customWidth="1"/>
    <col min="8959" max="8959" width="16.5703125" style="826" customWidth="1"/>
    <col min="8960" max="8960" width="39.42578125" style="826" customWidth="1"/>
    <col min="8961" max="8961" width="21.5703125" style="826" customWidth="1"/>
    <col min="8962" max="8962" width="13.85546875" style="826" customWidth="1"/>
    <col min="8963" max="8963" width="13.42578125" style="826" customWidth="1"/>
    <col min="8964" max="8964" width="12.85546875" style="826" customWidth="1"/>
    <col min="8965" max="8965" width="29.5703125" style="826" customWidth="1"/>
    <col min="8966" max="8966" width="16.140625" style="826" customWidth="1"/>
    <col min="8967" max="8967" width="21.42578125" style="826" customWidth="1"/>
    <col min="8968" max="8968" width="21" style="826" customWidth="1"/>
    <col min="8969" max="8969" width="20.5703125" style="826" customWidth="1"/>
    <col min="8970" max="8970" width="30.85546875" style="826" customWidth="1"/>
    <col min="8971" max="8971" width="48" style="826" customWidth="1"/>
    <col min="8972" max="9212" width="11.42578125" style="826"/>
    <col min="9213" max="9213" width="6.5703125" style="826" customWidth="1"/>
    <col min="9214" max="9214" width="6.42578125" style="826" customWidth="1"/>
    <col min="9215" max="9215" width="16.5703125" style="826" customWidth="1"/>
    <col min="9216" max="9216" width="39.42578125" style="826" customWidth="1"/>
    <col min="9217" max="9217" width="21.5703125" style="826" customWidth="1"/>
    <col min="9218" max="9218" width="13.85546875" style="826" customWidth="1"/>
    <col min="9219" max="9219" width="13.42578125" style="826" customWidth="1"/>
    <col min="9220" max="9220" width="12.85546875" style="826" customWidth="1"/>
    <col min="9221" max="9221" width="29.5703125" style="826" customWidth="1"/>
    <col min="9222" max="9222" width="16.140625" style="826" customWidth="1"/>
    <col min="9223" max="9223" width="21.42578125" style="826" customWidth="1"/>
    <col min="9224" max="9224" width="21" style="826" customWidth="1"/>
    <col min="9225" max="9225" width="20.5703125" style="826" customWidth="1"/>
    <col min="9226" max="9226" width="30.85546875" style="826" customWidth="1"/>
    <col min="9227" max="9227" width="48" style="826" customWidth="1"/>
    <col min="9228" max="9468" width="11.42578125" style="826"/>
    <col min="9469" max="9469" width="6.5703125" style="826" customWidth="1"/>
    <col min="9470" max="9470" width="6.42578125" style="826" customWidth="1"/>
    <col min="9471" max="9471" width="16.5703125" style="826" customWidth="1"/>
    <col min="9472" max="9472" width="39.42578125" style="826" customWidth="1"/>
    <col min="9473" max="9473" width="21.5703125" style="826" customWidth="1"/>
    <col min="9474" max="9474" width="13.85546875" style="826" customWidth="1"/>
    <col min="9475" max="9475" width="13.42578125" style="826" customWidth="1"/>
    <col min="9476" max="9476" width="12.85546875" style="826" customWidth="1"/>
    <col min="9477" max="9477" width="29.5703125" style="826" customWidth="1"/>
    <col min="9478" max="9478" width="16.140625" style="826" customWidth="1"/>
    <col min="9479" max="9479" width="21.42578125" style="826" customWidth="1"/>
    <col min="9480" max="9480" width="21" style="826" customWidth="1"/>
    <col min="9481" max="9481" width="20.5703125" style="826" customWidth="1"/>
    <col min="9482" max="9482" width="30.85546875" style="826" customWidth="1"/>
    <col min="9483" max="9483" width="48" style="826" customWidth="1"/>
    <col min="9484" max="9724" width="11.42578125" style="826"/>
    <col min="9725" max="9725" width="6.5703125" style="826" customWidth="1"/>
    <col min="9726" max="9726" width="6.42578125" style="826" customWidth="1"/>
    <col min="9727" max="9727" width="16.5703125" style="826" customWidth="1"/>
    <col min="9728" max="9728" width="39.42578125" style="826" customWidth="1"/>
    <col min="9729" max="9729" width="21.5703125" style="826" customWidth="1"/>
    <col min="9730" max="9730" width="13.85546875" style="826" customWidth="1"/>
    <col min="9731" max="9731" width="13.42578125" style="826" customWidth="1"/>
    <col min="9732" max="9732" width="12.85546875" style="826" customWidth="1"/>
    <col min="9733" max="9733" width="29.5703125" style="826" customWidth="1"/>
    <col min="9734" max="9734" width="16.140625" style="826" customWidth="1"/>
    <col min="9735" max="9735" width="21.42578125" style="826" customWidth="1"/>
    <col min="9736" max="9736" width="21" style="826" customWidth="1"/>
    <col min="9737" max="9737" width="20.5703125" style="826" customWidth="1"/>
    <col min="9738" max="9738" width="30.85546875" style="826" customWidth="1"/>
    <col min="9739" max="9739" width="48" style="826" customWidth="1"/>
    <col min="9740" max="9980" width="11.42578125" style="826"/>
    <col min="9981" max="9981" width="6.5703125" style="826" customWidth="1"/>
    <col min="9982" max="9982" width="6.42578125" style="826" customWidth="1"/>
    <col min="9983" max="9983" width="16.5703125" style="826" customWidth="1"/>
    <col min="9984" max="9984" width="39.42578125" style="826" customWidth="1"/>
    <col min="9985" max="9985" width="21.5703125" style="826" customWidth="1"/>
    <col min="9986" max="9986" width="13.85546875" style="826" customWidth="1"/>
    <col min="9987" max="9987" width="13.42578125" style="826" customWidth="1"/>
    <col min="9988" max="9988" width="12.85546875" style="826" customWidth="1"/>
    <col min="9989" max="9989" width="29.5703125" style="826" customWidth="1"/>
    <col min="9990" max="9990" width="16.140625" style="826" customWidth="1"/>
    <col min="9991" max="9991" width="21.42578125" style="826" customWidth="1"/>
    <col min="9992" max="9992" width="21" style="826" customWidth="1"/>
    <col min="9993" max="9993" width="20.5703125" style="826" customWidth="1"/>
    <col min="9994" max="9994" width="30.85546875" style="826" customWidth="1"/>
    <col min="9995" max="9995" width="48" style="826" customWidth="1"/>
    <col min="9996" max="10236" width="11.42578125" style="826"/>
    <col min="10237" max="10237" width="6.5703125" style="826" customWidth="1"/>
    <col min="10238" max="10238" width="6.42578125" style="826" customWidth="1"/>
    <col min="10239" max="10239" width="16.5703125" style="826" customWidth="1"/>
    <col min="10240" max="10240" width="39.42578125" style="826" customWidth="1"/>
    <col min="10241" max="10241" width="21.5703125" style="826" customWidth="1"/>
    <col min="10242" max="10242" width="13.85546875" style="826" customWidth="1"/>
    <col min="10243" max="10243" width="13.42578125" style="826" customWidth="1"/>
    <col min="10244" max="10244" width="12.85546875" style="826" customWidth="1"/>
    <col min="10245" max="10245" width="29.5703125" style="826" customWidth="1"/>
    <col min="10246" max="10246" width="16.140625" style="826" customWidth="1"/>
    <col min="10247" max="10247" width="21.42578125" style="826" customWidth="1"/>
    <col min="10248" max="10248" width="21" style="826" customWidth="1"/>
    <col min="10249" max="10249" width="20.5703125" style="826" customWidth="1"/>
    <col min="10250" max="10250" width="30.85546875" style="826" customWidth="1"/>
    <col min="10251" max="10251" width="48" style="826" customWidth="1"/>
    <col min="10252" max="10492" width="11.42578125" style="826"/>
    <col min="10493" max="10493" width="6.5703125" style="826" customWidth="1"/>
    <col min="10494" max="10494" width="6.42578125" style="826" customWidth="1"/>
    <col min="10495" max="10495" width="16.5703125" style="826" customWidth="1"/>
    <col min="10496" max="10496" width="39.42578125" style="826" customWidth="1"/>
    <col min="10497" max="10497" width="21.5703125" style="826" customWidth="1"/>
    <col min="10498" max="10498" width="13.85546875" style="826" customWidth="1"/>
    <col min="10499" max="10499" width="13.42578125" style="826" customWidth="1"/>
    <col min="10500" max="10500" width="12.85546875" style="826" customWidth="1"/>
    <col min="10501" max="10501" width="29.5703125" style="826" customWidth="1"/>
    <col min="10502" max="10502" width="16.140625" style="826" customWidth="1"/>
    <col min="10503" max="10503" width="21.42578125" style="826" customWidth="1"/>
    <col min="10504" max="10504" width="21" style="826" customWidth="1"/>
    <col min="10505" max="10505" width="20.5703125" style="826" customWidth="1"/>
    <col min="10506" max="10506" width="30.85546875" style="826" customWidth="1"/>
    <col min="10507" max="10507" width="48" style="826" customWidth="1"/>
    <col min="10508" max="10748" width="11.42578125" style="826"/>
    <col min="10749" max="10749" width="6.5703125" style="826" customWidth="1"/>
    <col min="10750" max="10750" width="6.42578125" style="826" customWidth="1"/>
    <col min="10751" max="10751" width="16.5703125" style="826" customWidth="1"/>
    <col min="10752" max="10752" width="39.42578125" style="826" customWidth="1"/>
    <col min="10753" max="10753" width="21.5703125" style="826" customWidth="1"/>
    <col min="10754" max="10754" width="13.85546875" style="826" customWidth="1"/>
    <col min="10755" max="10755" width="13.42578125" style="826" customWidth="1"/>
    <col min="10756" max="10756" width="12.85546875" style="826" customWidth="1"/>
    <col min="10757" max="10757" width="29.5703125" style="826" customWidth="1"/>
    <col min="10758" max="10758" width="16.140625" style="826" customWidth="1"/>
    <col min="10759" max="10759" width="21.42578125" style="826" customWidth="1"/>
    <col min="10760" max="10760" width="21" style="826" customWidth="1"/>
    <col min="10761" max="10761" width="20.5703125" style="826" customWidth="1"/>
    <col min="10762" max="10762" width="30.85546875" style="826" customWidth="1"/>
    <col min="10763" max="10763" width="48" style="826" customWidth="1"/>
    <col min="10764" max="11004" width="11.42578125" style="826"/>
    <col min="11005" max="11005" width="6.5703125" style="826" customWidth="1"/>
    <col min="11006" max="11006" width="6.42578125" style="826" customWidth="1"/>
    <col min="11007" max="11007" width="16.5703125" style="826" customWidth="1"/>
    <col min="11008" max="11008" width="39.42578125" style="826" customWidth="1"/>
    <col min="11009" max="11009" width="21.5703125" style="826" customWidth="1"/>
    <col min="11010" max="11010" width="13.85546875" style="826" customWidth="1"/>
    <col min="11011" max="11011" width="13.42578125" style="826" customWidth="1"/>
    <col min="11012" max="11012" width="12.85546875" style="826" customWidth="1"/>
    <col min="11013" max="11013" width="29.5703125" style="826" customWidth="1"/>
    <col min="11014" max="11014" width="16.140625" style="826" customWidth="1"/>
    <col min="11015" max="11015" width="21.42578125" style="826" customWidth="1"/>
    <col min="11016" max="11016" width="21" style="826" customWidth="1"/>
    <col min="11017" max="11017" width="20.5703125" style="826" customWidth="1"/>
    <col min="11018" max="11018" width="30.85546875" style="826" customWidth="1"/>
    <col min="11019" max="11019" width="48" style="826" customWidth="1"/>
    <col min="11020" max="11260" width="11.42578125" style="826"/>
    <col min="11261" max="11261" width="6.5703125" style="826" customWidth="1"/>
    <col min="11262" max="11262" width="6.42578125" style="826" customWidth="1"/>
    <col min="11263" max="11263" width="16.5703125" style="826" customWidth="1"/>
    <col min="11264" max="11264" width="39.42578125" style="826" customWidth="1"/>
    <col min="11265" max="11265" width="21.5703125" style="826" customWidth="1"/>
    <col min="11266" max="11266" width="13.85546875" style="826" customWidth="1"/>
    <col min="11267" max="11267" width="13.42578125" style="826" customWidth="1"/>
    <col min="11268" max="11268" width="12.85546875" style="826" customWidth="1"/>
    <col min="11269" max="11269" width="29.5703125" style="826" customWidth="1"/>
    <col min="11270" max="11270" width="16.140625" style="826" customWidth="1"/>
    <col min="11271" max="11271" width="21.42578125" style="826" customWidth="1"/>
    <col min="11272" max="11272" width="21" style="826" customWidth="1"/>
    <col min="11273" max="11273" width="20.5703125" style="826" customWidth="1"/>
    <col min="11274" max="11274" width="30.85546875" style="826" customWidth="1"/>
    <col min="11275" max="11275" width="48" style="826" customWidth="1"/>
    <col min="11276" max="11516" width="11.42578125" style="826"/>
    <col min="11517" max="11517" width="6.5703125" style="826" customWidth="1"/>
    <col min="11518" max="11518" width="6.42578125" style="826" customWidth="1"/>
    <col min="11519" max="11519" width="16.5703125" style="826" customWidth="1"/>
    <col min="11520" max="11520" width="39.42578125" style="826" customWidth="1"/>
    <col min="11521" max="11521" width="21.5703125" style="826" customWidth="1"/>
    <col min="11522" max="11522" width="13.85546875" style="826" customWidth="1"/>
    <col min="11523" max="11523" width="13.42578125" style="826" customWidth="1"/>
    <col min="11524" max="11524" width="12.85546875" style="826" customWidth="1"/>
    <col min="11525" max="11525" width="29.5703125" style="826" customWidth="1"/>
    <col min="11526" max="11526" width="16.140625" style="826" customWidth="1"/>
    <col min="11527" max="11527" width="21.42578125" style="826" customWidth="1"/>
    <col min="11528" max="11528" width="21" style="826" customWidth="1"/>
    <col min="11529" max="11529" width="20.5703125" style="826" customWidth="1"/>
    <col min="11530" max="11530" width="30.85546875" style="826" customWidth="1"/>
    <col min="11531" max="11531" width="48" style="826" customWidth="1"/>
    <col min="11532" max="11772" width="11.42578125" style="826"/>
    <col min="11773" max="11773" width="6.5703125" style="826" customWidth="1"/>
    <col min="11774" max="11774" width="6.42578125" style="826" customWidth="1"/>
    <col min="11775" max="11775" width="16.5703125" style="826" customWidth="1"/>
    <col min="11776" max="11776" width="39.42578125" style="826" customWidth="1"/>
    <col min="11777" max="11777" width="21.5703125" style="826" customWidth="1"/>
    <col min="11778" max="11778" width="13.85546875" style="826" customWidth="1"/>
    <col min="11779" max="11779" width="13.42578125" style="826" customWidth="1"/>
    <col min="11780" max="11780" width="12.85546875" style="826" customWidth="1"/>
    <col min="11781" max="11781" width="29.5703125" style="826" customWidth="1"/>
    <col min="11782" max="11782" width="16.140625" style="826" customWidth="1"/>
    <col min="11783" max="11783" width="21.42578125" style="826" customWidth="1"/>
    <col min="11784" max="11784" width="21" style="826" customWidth="1"/>
    <col min="11785" max="11785" width="20.5703125" style="826" customWidth="1"/>
    <col min="11786" max="11786" width="30.85546875" style="826" customWidth="1"/>
    <col min="11787" max="11787" width="48" style="826" customWidth="1"/>
    <col min="11788" max="12028" width="11.42578125" style="826"/>
    <col min="12029" max="12029" width="6.5703125" style="826" customWidth="1"/>
    <col min="12030" max="12030" width="6.42578125" style="826" customWidth="1"/>
    <col min="12031" max="12031" width="16.5703125" style="826" customWidth="1"/>
    <col min="12032" max="12032" width="39.42578125" style="826" customWidth="1"/>
    <col min="12033" max="12033" width="21.5703125" style="826" customWidth="1"/>
    <col min="12034" max="12034" width="13.85546875" style="826" customWidth="1"/>
    <col min="12035" max="12035" width="13.42578125" style="826" customWidth="1"/>
    <col min="12036" max="12036" width="12.85546875" style="826" customWidth="1"/>
    <col min="12037" max="12037" width="29.5703125" style="826" customWidth="1"/>
    <col min="12038" max="12038" width="16.140625" style="826" customWidth="1"/>
    <col min="12039" max="12039" width="21.42578125" style="826" customWidth="1"/>
    <col min="12040" max="12040" width="21" style="826" customWidth="1"/>
    <col min="12041" max="12041" width="20.5703125" style="826" customWidth="1"/>
    <col min="12042" max="12042" width="30.85546875" style="826" customWidth="1"/>
    <col min="12043" max="12043" width="48" style="826" customWidth="1"/>
    <col min="12044" max="12284" width="11.42578125" style="826"/>
    <col min="12285" max="12285" width="6.5703125" style="826" customWidth="1"/>
    <col min="12286" max="12286" width="6.42578125" style="826" customWidth="1"/>
    <col min="12287" max="12287" width="16.5703125" style="826" customWidth="1"/>
    <col min="12288" max="12288" width="39.42578125" style="826" customWidth="1"/>
    <col min="12289" max="12289" width="21.5703125" style="826" customWidth="1"/>
    <col min="12290" max="12290" width="13.85546875" style="826" customWidth="1"/>
    <col min="12291" max="12291" width="13.42578125" style="826" customWidth="1"/>
    <col min="12292" max="12292" width="12.85546875" style="826" customWidth="1"/>
    <col min="12293" max="12293" width="29.5703125" style="826" customWidth="1"/>
    <col min="12294" max="12294" width="16.140625" style="826" customWidth="1"/>
    <col min="12295" max="12295" width="21.42578125" style="826" customWidth="1"/>
    <col min="12296" max="12296" width="21" style="826" customWidth="1"/>
    <col min="12297" max="12297" width="20.5703125" style="826" customWidth="1"/>
    <col min="12298" max="12298" width="30.85546875" style="826" customWidth="1"/>
    <col min="12299" max="12299" width="48" style="826" customWidth="1"/>
    <col min="12300" max="12540" width="11.42578125" style="826"/>
    <col min="12541" max="12541" width="6.5703125" style="826" customWidth="1"/>
    <col min="12542" max="12542" width="6.42578125" style="826" customWidth="1"/>
    <col min="12543" max="12543" width="16.5703125" style="826" customWidth="1"/>
    <col min="12544" max="12544" width="39.42578125" style="826" customWidth="1"/>
    <col min="12545" max="12545" width="21.5703125" style="826" customWidth="1"/>
    <col min="12546" max="12546" width="13.85546875" style="826" customWidth="1"/>
    <col min="12547" max="12547" width="13.42578125" style="826" customWidth="1"/>
    <col min="12548" max="12548" width="12.85546875" style="826" customWidth="1"/>
    <col min="12549" max="12549" width="29.5703125" style="826" customWidth="1"/>
    <col min="12550" max="12550" width="16.140625" style="826" customWidth="1"/>
    <col min="12551" max="12551" width="21.42578125" style="826" customWidth="1"/>
    <col min="12552" max="12552" width="21" style="826" customWidth="1"/>
    <col min="12553" max="12553" width="20.5703125" style="826" customWidth="1"/>
    <col min="12554" max="12554" width="30.85546875" style="826" customWidth="1"/>
    <col min="12555" max="12555" width="48" style="826" customWidth="1"/>
    <col min="12556" max="12796" width="11.42578125" style="826"/>
    <col min="12797" max="12797" width="6.5703125" style="826" customWidth="1"/>
    <col min="12798" max="12798" width="6.42578125" style="826" customWidth="1"/>
    <col min="12799" max="12799" width="16.5703125" style="826" customWidth="1"/>
    <col min="12800" max="12800" width="39.42578125" style="826" customWidth="1"/>
    <col min="12801" max="12801" width="21.5703125" style="826" customWidth="1"/>
    <col min="12802" max="12802" width="13.85546875" style="826" customWidth="1"/>
    <col min="12803" max="12803" width="13.42578125" style="826" customWidth="1"/>
    <col min="12804" max="12804" width="12.85546875" style="826" customWidth="1"/>
    <col min="12805" max="12805" width="29.5703125" style="826" customWidth="1"/>
    <col min="12806" max="12806" width="16.140625" style="826" customWidth="1"/>
    <col min="12807" max="12807" width="21.42578125" style="826" customWidth="1"/>
    <col min="12808" max="12808" width="21" style="826" customWidth="1"/>
    <col min="12809" max="12809" width="20.5703125" style="826" customWidth="1"/>
    <col min="12810" max="12810" width="30.85546875" style="826" customWidth="1"/>
    <col min="12811" max="12811" width="48" style="826" customWidth="1"/>
    <col min="12812" max="13052" width="11.42578125" style="826"/>
    <col min="13053" max="13053" width="6.5703125" style="826" customWidth="1"/>
    <col min="13054" max="13054" width="6.42578125" style="826" customWidth="1"/>
    <col min="13055" max="13055" width="16.5703125" style="826" customWidth="1"/>
    <col min="13056" max="13056" width="39.42578125" style="826" customWidth="1"/>
    <col min="13057" max="13057" width="21.5703125" style="826" customWidth="1"/>
    <col min="13058" max="13058" width="13.85546875" style="826" customWidth="1"/>
    <col min="13059" max="13059" width="13.42578125" style="826" customWidth="1"/>
    <col min="13060" max="13060" width="12.85546875" style="826" customWidth="1"/>
    <col min="13061" max="13061" width="29.5703125" style="826" customWidth="1"/>
    <col min="13062" max="13062" width="16.140625" style="826" customWidth="1"/>
    <col min="13063" max="13063" width="21.42578125" style="826" customWidth="1"/>
    <col min="13064" max="13064" width="21" style="826" customWidth="1"/>
    <col min="13065" max="13065" width="20.5703125" style="826" customWidth="1"/>
    <col min="13066" max="13066" width="30.85546875" style="826" customWidth="1"/>
    <col min="13067" max="13067" width="48" style="826" customWidth="1"/>
    <col min="13068" max="13308" width="11.42578125" style="826"/>
    <col min="13309" max="13309" width="6.5703125" style="826" customWidth="1"/>
    <col min="13310" max="13310" width="6.42578125" style="826" customWidth="1"/>
    <col min="13311" max="13311" width="16.5703125" style="826" customWidth="1"/>
    <col min="13312" max="13312" width="39.42578125" style="826" customWidth="1"/>
    <col min="13313" max="13313" width="21.5703125" style="826" customWidth="1"/>
    <col min="13314" max="13314" width="13.85546875" style="826" customWidth="1"/>
    <col min="13315" max="13315" width="13.42578125" style="826" customWidth="1"/>
    <col min="13316" max="13316" width="12.85546875" style="826" customWidth="1"/>
    <col min="13317" max="13317" width="29.5703125" style="826" customWidth="1"/>
    <col min="13318" max="13318" width="16.140625" style="826" customWidth="1"/>
    <col min="13319" max="13319" width="21.42578125" style="826" customWidth="1"/>
    <col min="13320" max="13320" width="21" style="826" customWidth="1"/>
    <col min="13321" max="13321" width="20.5703125" style="826" customWidth="1"/>
    <col min="13322" max="13322" width="30.85546875" style="826" customWidth="1"/>
    <col min="13323" max="13323" width="48" style="826" customWidth="1"/>
    <col min="13324" max="13564" width="11.42578125" style="826"/>
    <col min="13565" max="13565" width="6.5703125" style="826" customWidth="1"/>
    <col min="13566" max="13566" width="6.42578125" style="826" customWidth="1"/>
    <col min="13567" max="13567" width="16.5703125" style="826" customWidth="1"/>
    <col min="13568" max="13568" width="39.42578125" style="826" customWidth="1"/>
    <col min="13569" max="13569" width="21.5703125" style="826" customWidth="1"/>
    <col min="13570" max="13570" width="13.85546875" style="826" customWidth="1"/>
    <col min="13571" max="13571" width="13.42578125" style="826" customWidth="1"/>
    <col min="13572" max="13572" width="12.85546875" style="826" customWidth="1"/>
    <col min="13573" max="13573" width="29.5703125" style="826" customWidth="1"/>
    <col min="13574" max="13574" width="16.140625" style="826" customWidth="1"/>
    <col min="13575" max="13575" width="21.42578125" style="826" customWidth="1"/>
    <col min="13576" max="13576" width="21" style="826" customWidth="1"/>
    <col min="13577" max="13577" width="20.5703125" style="826" customWidth="1"/>
    <col min="13578" max="13578" width="30.85546875" style="826" customWidth="1"/>
    <col min="13579" max="13579" width="48" style="826" customWidth="1"/>
    <col min="13580" max="13820" width="11.42578125" style="826"/>
    <col min="13821" max="13821" width="6.5703125" style="826" customWidth="1"/>
    <col min="13822" max="13822" width="6.42578125" style="826" customWidth="1"/>
    <col min="13823" max="13823" width="16.5703125" style="826" customWidth="1"/>
    <col min="13824" max="13824" width="39.42578125" style="826" customWidth="1"/>
    <col min="13825" max="13825" width="21.5703125" style="826" customWidth="1"/>
    <col min="13826" max="13826" width="13.85546875" style="826" customWidth="1"/>
    <col min="13827" max="13827" width="13.42578125" style="826" customWidth="1"/>
    <col min="13828" max="13828" width="12.85546875" style="826" customWidth="1"/>
    <col min="13829" max="13829" width="29.5703125" style="826" customWidth="1"/>
    <col min="13830" max="13830" width="16.140625" style="826" customWidth="1"/>
    <col min="13831" max="13831" width="21.42578125" style="826" customWidth="1"/>
    <col min="13832" max="13832" width="21" style="826" customWidth="1"/>
    <col min="13833" max="13833" width="20.5703125" style="826" customWidth="1"/>
    <col min="13834" max="13834" width="30.85546875" style="826" customWidth="1"/>
    <col min="13835" max="13835" width="48" style="826" customWidth="1"/>
    <col min="13836" max="14076" width="11.42578125" style="826"/>
    <col min="14077" max="14077" width="6.5703125" style="826" customWidth="1"/>
    <col min="14078" max="14078" width="6.42578125" style="826" customWidth="1"/>
    <col min="14079" max="14079" width="16.5703125" style="826" customWidth="1"/>
    <col min="14080" max="14080" width="39.42578125" style="826" customWidth="1"/>
    <col min="14081" max="14081" width="21.5703125" style="826" customWidth="1"/>
    <col min="14082" max="14082" width="13.85546875" style="826" customWidth="1"/>
    <col min="14083" max="14083" width="13.42578125" style="826" customWidth="1"/>
    <col min="14084" max="14084" width="12.85546875" style="826" customWidth="1"/>
    <col min="14085" max="14085" width="29.5703125" style="826" customWidth="1"/>
    <col min="14086" max="14086" width="16.140625" style="826" customWidth="1"/>
    <col min="14087" max="14087" width="21.42578125" style="826" customWidth="1"/>
    <col min="14088" max="14088" width="21" style="826" customWidth="1"/>
    <col min="14089" max="14089" width="20.5703125" style="826" customWidth="1"/>
    <col min="14090" max="14090" width="30.85546875" style="826" customWidth="1"/>
    <col min="14091" max="14091" width="48" style="826" customWidth="1"/>
    <col min="14092" max="14332" width="11.42578125" style="826"/>
    <col min="14333" max="14333" width="6.5703125" style="826" customWidth="1"/>
    <col min="14334" max="14334" width="6.42578125" style="826" customWidth="1"/>
    <col min="14335" max="14335" width="16.5703125" style="826" customWidth="1"/>
    <col min="14336" max="14336" width="39.42578125" style="826" customWidth="1"/>
    <col min="14337" max="14337" width="21.5703125" style="826" customWidth="1"/>
    <col min="14338" max="14338" width="13.85546875" style="826" customWidth="1"/>
    <col min="14339" max="14339" width="13.42578125" style="826" customWidth="1"/>
    <col min="14340" max="14340" width="12.85546875" style="826" customWidth="1"/>
    <col min="14341" max="14341" width="29.5703125" style="826" customWidth="1"/>
    <col min="14342" max="14342" width="16.140625" style="826" customWidth="1"/>
    <col min="14343" max="14343" width="21.42578125" style="826" customWidth="1"/>
    <col min="14344" max="14344" width="21" style="826" customWidth="1"/>
    <col min="14345" max="14345" width="20.5703125" style="826" customWidth="1"/>
    <col min="14346" max="14346" width="30.85546875" style="826" customWidth="1"/>
    <col min="14347" max="14347" width="48" style="826" customWidth="1"/>
    <col min="14348" max="14588" width="11.42578125" style="826"/>
    <col min="14589" max="14589" width="6.5703125" style="826" customWidth="1"/>
    <col min="14590" max="14590" width="6.42578125" style="826" customWidth="1"/>
    <col min="14591" max="14591" width="16.5703125" style="826" customWidth="1"/>
    <col min="14592" max="14592" width="39.42578125" style="826" customWidth="1"/>
    <col min="14593" max="14593" width="21.5703125" style="826" customWidth="1"/>
    <col min="14594" max="14594" width="13.85546875" style="826" customWidth="1"/>
    <col min="14595" max="14595" width="13.42578125" style="826" customWidth="1"/>
    <col min="14596" max="14596" width="12.85546875" style="826" customWidth="1"/>
    <col min="14597" max="14597" width="29.5703125" style="826" customWidth="1"/>
    <col min="14598" max="14598" width="16.140625" style="826" customWidth="1"/>
    <col min="14599" max="14599" width="21.42578125" style="826" customWidth="1"/>
    <col min="14600" max="14600" width="21" style="826" customWidth="1"/>
    <col min="14601" max="14601" width="20.5703125" style="826" customWidth="1"/>
    <col min="14602" max="14602" width="30.85546875" style="826" customWidth="1"/>
    <col min="14603" max="14603" width="48" style="826" customWidth="1"/>
    <col min="14604" max="14844" width="11.42578125" style="826"/>
    <col min="14845" max="14845" width="6.5703125" style="826" customWidth="1"/>
    <col min="14846" max="14846" width="6.42578125" style="826" customWidth="1"/>
    <col min="14847" max="14847" width="16.5703125" style="826" customWidth="1"/>
    <col min="14848" max="14848" width="39.42578125" style="826" customWidth="1"/>
    <col min="14849" max="14849" width="21.5703125" style="826" customWidth="1"/>
    <col min="14850" max="14850" width="13.85546875" style="826" customWidth="1"/>
    <col min="14851" max="14851" width="13.42578125" style="826" customWidth="1"/>
    <col min="14852" max="14852" width="12.85546875" style="826" customWidth="1"/>
    <col min="14853" max="14853" width="29.5703125" style="826" customWidth="1"/>
    <col min="14854" max="14854" width="16.140625" style="826" customWidth="1"/>
    <col min="14855" max="14855" width="21.42578125" style="826" customWidth="1"/>
    <col min="14856" max="14856" width="21" style="826" customWidth="1"/>
    <col min="14857" max="14857" width="20.5703125" style="826" customWidth="1"/>
    <col min="14858" max="14858" width="30.85546875" style="826" customWidth="1"/>
    <col min="14859" max="14859" width="48" style="826" customWidth="1"/>
    <col min="14860" max="15100" width="11.42578125" style="826"/>
    <col min="15101" max="15101" width="6.5703125" style="826" customWidth="1"/>
    <col min="15102" max="15102" width="6.42578125" style="826" customWidth="1"/>
    <col min="15103" max="15103" width="16.5703125" style="826" customWidth="1"/>
    <col min="15104" max="15104" width="39.42578125" style="826" customWidth="1"/>
    <col min="15105" max="15105" width="21.5703125" style="826" customWidth="1"/>
    <col min="15106" max="15106" width="13.85546875" style="826" customWidth="1"/>
    <col min="15107" max="15107" width="13.42578125" style="826" customWidth="1"/>
    <col min="15108" max="15108" width="12.85546875" style="826" customWidth="1"/>
    <col min="15109" max="15109" width="29.5703125" style="826" customWidth="1"/>
    <col min="15110" max="15110" width="16.140625" style="826" customWidth="1"/>
    <col min="15111" max="15111" width="21.42578125" style="826" customWidth="1"/>
    <col min="15112" max="15112" width="21" style="826" customWidth="1"/>
    <col min="15113" max="15113" width="20.5703125" style="826" customWidth="1"/>
    <col min="15114" max="15114" width="30.85546875" style="826" customWidth="1"/>
    <col min="15115" max="15115" width="48" style="826" customWidth="1"/>
    <col min="15116" max="15356" width="11.42578125" style="826"/>
    <col min="15357" max="15357" width="6.5703125" style="826" customWidth="1"/>
    <col min="15358" max="15358" width="6.42578125" style="826" customWidth="1"/>
    <col min="15359" max="15359" width="16.5703125" style="826" customWidth="1"/>
    <col min="15360" max="15360" width="39.42578125" style="826" customWidth="1"/>
    <col min="15361" max="15361" width="21.5703125" style="826" customWidth="1"/>
    <col min="15362" max="15362" width="13.85546875" style="826" customWidth="1"/>
    <col min="15363" max="15363" width="13.42578125" style="826" customWidth="1"/>
    <col min="15364" max="15364" width="12.85546875" style="826" customWidth="1"/>
    <col min="15365" max="15365" width="29.5703125" style="826" customWidth="1"/>
    <col min="15366" max="15366" width="16.140625" style="826" customWidth="1"/>
    <col min="15367" max="15367" width="21.42578125" style="826" customWidth="1"/>
    <col min="15368" max="15368" width="21" style="826" customWidth="1"/>
    <col min="15369" max="15369" width="20.5703125" style="826" customWidth="1"/>
    <col min="15370" max="15370" width="30.85546875" style="826" customWidth="1"/>
    <col min="15371" max="15371" width="48" style="826" customWidth="1"/>
    <col min="15372" max="15612" width="11.42578125" style="826"/>
    <col min="15613" max="15613" width="6.5703125" style="826" customWidth="1"/>
    <col min="15614" max="15614" width="6.42578125" style="826" customWidth="1"/>
    <col min="15615" max="15615" width="16.5703125" style="826" customWidth="1"/>
    <col min="15616" max="15616" width="39.42578125" style="826" customWidth="1"/>
    <col min="15617" max="15617" width="21.5703125" style="826" customWidth="1"/>
    <col min="15618" max="15618" width="13.85546875" style="826" customWidth="1"/>
    <col min="15619" max="15619" width="13.42578125" style="826" customWidth="1"/>
    <col min="15620" max="15620" width="12.85546875" style="826" customWidth="1"/>
    <col min="15621" max="15621" width="29.5703125" style="826" customWidth="1"/>
    <col min="15622" max="15622" width="16.140625" style="826" customWidth="1"/>
    <col min="15623" max="15623" width="21.42578125" style="826" customWidth="1"/>
    <col min="15624" max="15624" width="21" style="826" customWidth="1"/>
    <col min="15625" max="15625" width="20.5703125" style="826" customWidth="1"/>
    <col min="15626" max="15626" width="30.85546875" style="826" customWidth="1"/>
    <col min="15627" max="15627" width="48" style="826" customWidth="1"/>
    <col min="15628" max="15868" width="11.42578125" style="826"/>
    <col min="15869" max="15869" width="6.5703125" style="826" customWidth="1"/>
    <col min="15870" max="15870" width="6.42578125" style="826" customWidth="1"/>
    <col min="15871" max="15871" width="16.5703125" style="826" customWidth="1"/>
    <col min="15872" max="15872" width="39.42578125" style="826" customWidth="1"/>
    <col min="15873" max="15873" width="21.5703125" style="826" customWidth="1"/>
    <col min="15874" max="15874" width="13.85546875" style="826" customWidth="1"/>
    <col min="15875" max="15875" width="13.42578125" style="826" customWidth="1"/>
    <col min="15876" max="15876" width="12.85546875" style="826" customWidth="1"/>
    <col min="15877" max="15877" width="29.5703125" style="826" customWidth="1"/>
    <col min="15878" max="15878" width="16.140625" style="826" customWidth="1"/>
    <col min="15879" max="15879" width="21.42578125" style="826" customWidth="1"/>
    <col min="15880" max="15880" width="21" style="826" customWidth="1"/>
    <col min="15881" max="15881" width="20.5703125" style="826" customWidth="1"/>
    <col min="15882" max="15882" width="30.85546875" style="826" customWidth="1"/>
    <col min="15883" max="15883" width="48" style="826" customWidth="1"/>
    <col min="15884" max="16124" width="11.42578125" style="826"/>
    <col min="16125" max="16125" width="6.5703125" style="826" customWidth="1"/>
    <col min="16126" max="16126" width="6.42578125" style="826" customWidth="1"/>
    <col min="16127" max="16127" width="16.5703125" style="826" customWidth="1"/>
    <col min="16128" max="16128" width="39.42578125" style="826" customWidth="1"/>
    <col min="16129" max="16129" width="21.5703125" style="826" customWidth="1"/>
    <col min="16130" max="16130" width="13.85546875" style="826" customWidth="1"/>
    <col min="16131" max="16131" width="13.42578125" style="826" customWidth="1"/>
    <col min="16132" max="16132" width="12.85546875" style="826" customWidth="1"/>
    <col min="16133" max="16133" width="29.5703125" style="826" customWidth="1"/>
    <col min="16134" max="16134" width="16.140625" style="826" customWidth="1"/>
    <col min="16135" max="16135" width="21.42578125" style="826" customWidth="1"/>
    <col min="16136" max="16136" width="21" style="826" customWidth="1"/>
    <col min="16137" max="16137" width="20.5703125" style="826" customWidth="1"/>
    <col min="16138" max="16138" width="30.85546875" style="826" customWidth="1"/>
    <col min="16139" max="16139" width="48" style="826" customWidth="1"/>
    <col min="16140" max="16384" width="11.42578125" style="826"/>
  </cols>
  <sheetData>
    <row r="1" spans="2:22" ht="18" customHeight="1">
      <c r="B1" s="1155"/>
      <c r="C1" s="1155"/>
      <c r="D1" s="1156" t="s">
        <v>0</v>
      </c>
      <c r="E1" s="1157"/>
      <c r="F1" s="1157"/>
      <c r="G1" s="1157"/>
      <c r="H1" s="1157"/>
      <c r="I1" s="1157"/>
      <c r="J1" s="1157"/>
      <c r="K1" s="1157"/>
      <c r="L1" s="1157"/>
      <c r="M1" s="1157"/>
      <c r="N1" s="1157"/>
      <c r="O1" s="1157"/>
      <c r="P1" s="1157"/>
      <c r="Q1" s="1157"/>
      <c r="R1" s="1157"/>
      <c r="S1" s="1157"/>
      <c r="T1" s="1157"/>
      <c r="U1" s="1158"/>
      <c r="V1" s="825" t="s">
        <v>1</v>
      </c>
    </row>
    <row r="2" spans="2:22" ht="18" customHeight="1">
      <c r="B2" s="1155"/>
      <c r="C2" s="1155"/>
      <c r="D2" s="1156"/>
      <c r="E2" s="1157"/>
      <c r="F2" s="1157"/>
      <c r="G2" s="1157"/>
      <c r="H2" s="1157"/>
      <c r="I2" s="1157"/>
      <c r="J2" s="1157"/>
      <c r="K2" s="1157"/>
      <c r="L2" s="1157"/>
      <c r="M2" s="1157"/>
      <c r="N2" s="1157"/>
      <c r="O2" s="1157"/>
      <c r="P2" s="1157"/>
      <c r="Q2" s="1157"/>
      <c r="R2" s="1157"/>
      <c r="S2" s="1157"/>
      <c r="T2" s="1157"/>
      <c r="U2" s="1158"/>
      <c r="V2" s="827" t="s">
        <v>2</v>
      </c>
    </row>
    <row r="3" spans="2:22" ht="18" customHeight="1">
      <c r="B3" s="1155"/>
      <c r="C3" s="1155"/>
      <c r="D3" s="1159" t="s">
        <v>3</v>
      </c>
      <c r="E3" s="1159"/>
      <c r="F3" s="1159"/>
      <c r="G3" s="1159"/>
      <c r="H3" s="1159"/>
      <c r="I3" s="1159"/>
      <c r="J3" s="1159"/>
      <c r="K3" s="1159"/>
      <c r="L3" s="1159"/>
      <c r="M3" s="1159"/>
      <c r="N3" s="1159"/>
      <c r="O3" s="1159"/>
      <c r="P3" s="1159"/>
      <c r="Q3" s="1159"/>
      <c r="R3" s="1159"/>
      <c r="S3" s="1159"/>
      <c r="T3" s="1159"/>
      <c r="U3" s="1159"/>
      <c r="V3" s="828" t="s">
        <v>4</v>
      </c>
    </row>
    <row r="4" spans="2:22" ht="18" customHeight="1">
      <c r="B4" s="1155"/>
      <c r="C4" s="1155"/>
      <c r="D4" s="1159"/>
      <c r="E4" s="1159"/>
      <c r="F4" s="1159"/>
      <c r="G4" s="1159"/>
      <c r="H4" s="1159"/>
      <c r="I4" s="1159"/>
      <c r="J4" s="1159"/>
      <c r="K4" s="1159"/>
      <c r="L4" s="1159"/>
      <c r="M4" s="1159"/>
      <c r="N4" s="1159"/>
      <c r="O4" s="1159"/>
      <c r="P4" s="1159"/>
      <c r="Q4" s="1159"/>
      <c r="R4" s="1159"/>
      <c r="S4" s="1159"/>
      <c r="T4" s="1159"/>
      <c r="U4" s="1159"/>
      <c r="V4" s="825" t="s">
        <v>5</v>
      </c>
    </row>
    <row r="5" spans="2:22" ht="18" customHeight="1">
      <c r="B5" s="1160"/>
      <c r="C5" s="1161"/>
      <c r="D5" s="1161"/>
      <c r="E5" s="1161"/>
      <c r="F5" s="1161"/>
      <c r="G5" s="1161"/>
      <c r="H5" s="1161"/>
      <c r="I5" s="1161"/>
      <c r="J5" s="1161"/>
      <c r="K5" s="1161"/>
      <c r="L5" s="1161"/>
      <c r="M5" s="1161"/>
      <c r="N5" s="1161"/>
      <c r="O5" s="1161"/>
      <c r="P5" s="1161"/>
      <c r="Q5" s="1161"/>
      <c r="R5" s="1161"/>
      <c r="S5" s="1161"/>
      <c r="T5" s="1161"/>
      <c r="U5" s="1161"/>
      <c r="V5" s="1162"/>
    </row>
    <row r="6" spans="2:22" ht="18" customHeight="1">
      <c r="B6" s="1163" t="s">
        <v>866</v>
      </c>
      <c r="C6" s="1164"/>
      <c r="D6" s="1164"/>
      <c r="E6" s="1164"/>
      <c r="F6" s="1164"/>
      <c r="G6" s="1164"/>
      <c r="H6" s="1164"/>
      <c r="I6" s="1164"/>
      <c r="J6" s="1164"/>
      <c r="K6" s="1164"/>
      <c r="L6" s="1164"/>
      <c r="M6" s="1164"/>
      <c r="N6" s="1164"/>
      <c r="O6" s="1164"/>
      <c r="P6" s="1164"/>
      <c r="Q6" s="1164"/>
      <c r="R6" s="1164"/>
      <c r="S6" s="1164"/>
      <c r="T6" s="1164"/>
      <c r="U6" s="1164"/>
      <c r="V6" s="1165"/>
    </row>
    <row r="7" spans="2:22" ht="18" customHeight="1">
      <c r="B7" s="1163" t="s">
        <v>6</v>
      </c>
      <c r="C7" s="1164"/>
      <c r="D7" s="1164"/>
      <c r="E7" s="1164"/>
      <c r="F7" s="1164"/>
      <c r="G7" s="1164"/>
      <c r="H7" s="1164"/>
      <c r="I7" s="1164"/>
      <c r="J7" s="1164"/>
      <c r="K7" s="1164"/>
      <c r="L7" s="1164"/>
      <c r="M7" s="1164"/>
      <c r="N7" s="1164"/>
      <c r="O7" s="1164"/>
      <c r="P7" s="1164"/>
      <c r="Q7" s="1164"/>
      <c r="R7" s="1164"/>
      <c r="S7" s="1164"/>
      <c r="T7" s="1164"/>
      <c r="U7" s="1164"/>
      <c r="V7" s="1165"/>
    </row>
    <row r="8" spans="2:22" ht="18" customHeight="1">
      <c r="B8" s="829"/>
      <c r="C8" s="830"/>
      <c r="D8" s="830"/>
      <c r="E8" s="830"/>
      <c r="F8" s="830"/>
      <c r="G8" s="830"/>
      <c r="H8" s="830"/>
      <c r="I8" s="830"/>
      <c r="J8" s="830"/>
      <c r="K8" s="830"/>
      <c r="L8" s="830"/>
      <c r="M8" s="830"/>
      <c r="N8" s="830"/>
      <c r="O8" s="830"/>
      <c r="P8" s="831"/>
      <c r="Q8" s="831"/>
      <c r="R8" s="831"/>
      <c r="S8" s="830"/>
      <c r="T8" s="830"/>
      <c r="U8" s="832"/>
      <c r="V8" s="833"/>
    </row>
    <row r="9" spans="2:22" s="773" customFormat="1" ht="21" customHeight="1">
      <c r="B9" s="1166" t="s">
        <v>7</v>
      </c>
      <c r="C9" s="1166" t="s">
        <v>8</v>
      </c>
      <c r="D9" s="1166" t="s">
        <v>9</v>
      </c>
      <c r="E9" s="1166" t="s">
        <v>10</v>
      </c>
      <c r="F9" s="1166" t="s">
        <v>11</v>
      </c>
      <c r="G9" s="1166" t="s">
        <v>12</v>
      </c>
      <c r="H9" s="1166" t="s">
        <v>13</v>
      </c>
      <c r="I9" s="1166" t="s">
        <v>14</v>
      </c>
      <c r="J9" s="1166" t="s">
        <v>867</v>
      </c>
      <c r="K9" s="1169" t="s">
        <v>868</v>
      </c>
      <c r="L9" s="772" t="s">
        <v>15</v>
      </c>
      <c r="M9" s="1166" t="s">
        <v>16</v>
      </c>
      <c r="N9" s="1166" t="s">
        <v>17</v>
      </c>
      <c r="O9" s="1166" t="s">
        <v>18</v>
      </c>
      <c r="P9" s="1169" t="s">
        <v>19</v>
      </c>
      <c r="Q9" s="1179" t="s">
        <v>869</v>
      </c>
      <c r="R9" s="1179" t="s">
        <v>870</v>
      </c>
      <c r="S9" s="772" t="s">
        <v>20</v>
      </c>
      <c r="T9" s="772" t="s">
        <v>21</v>
      </c>
      <c r="U9" s="1182" t="s">
        <v>22</v>
      </c>
      <c r="V9" s="1182"/>
    </row>
    <row r="10" spans="2:22" s="773" customFormat="1" ht="15" customHeight="1">
      <c r="B10" s="1167"/>
      <c r="C10" s="1167"/>
      <c r="D10" s="1167"/>
      <c r="E10" s="1167"/>
      <c r="F10" s="1167"/>
      <c r="G10" s="1167"/>
      <c r="H10" s="1167"/>
      <c r="I10" s="1167"/>
      <c r="J10" s="1167"/>
      <c r="K10" s="1170"/>
      <c r="L10" s="774" t="s">
        <v>23</v>
      </c>
      <c r="M10" s="1167"/>
      <c r="N10" s="1167"/>
      <c r="O10" s="1167"/>
      <c r="P10" s="1170"/>
      <c r="Q10" s="1180"/>
      <c r="R10" s="1180"/>
      <c r="S10" s="774" t="s">
        <v>23</v>
      </c>
      <c r="T10" s="774" t="s">
        <v>23</v>
      </c>
      <c r="U10" s="1182"/>
      <c r="V10" s="1182"/>
    </row>
    <row r="11" spans="2:22" s="773" customFormat="1" ht="11.25" customHeight="1">
      <c r="B11" s="1167"/>
      <c r="C11" s="1167"/>
      <c r="D11" s="1167"/>
      <c r="E11" s="1167"/>
      <c r="F11" s="1167"/>
      <c r="G11" s="1167"/>
      <c r="H11" s="1167"/>
      <c r="I11" s="1167"/>
      <c r="J11" s="1167"/>
      <c r="K11" s="1170"/>
      <c r="L11" s="774" t="s">
        <v>24</v>
      </c>
      <c r="M11" s="1167"/>
      <c r="N11" s="1167"/>
      <c r="O11" s="1167"/>
      <c r="P11" s="1170"/>
      <c r="Q11" s="1180"/>
      <c r="R11" s="1180"/>
      <c r="S11" s="774" t="s">
        <v>24</v>
      </c>
      <c r="T11" s="774" t="s">
        <v>24</v>
      </c>
      <c r="U11" s="1182"/>
      <c r="V11" s="1182"/>
    </row>
    <row r="12" spans="2:22" s="773" customFormat="1" ht="18" customHeight="1">
      <c r="B12" s="1167"/>
      <c r="C12" s="1167"/>
      <c r="D12" s="1167"/>
      <c r="E12" s="1167"/>
      <c r="F12" s="1167"/>
      <c r="G12" s="1167"/>
      <c r="H12" s="1167"/>
      <c r="I12" s="1167"/>
      <c r="J12" s="1167"/>
      <c r="K12" s="1170"/>
      <c r="L12" s="774" t="s">
        <v>25</v>
      </c>
      <c r="M12" s="1167"/>
      <c r="N12" s="1167"/>
      <c r="O12" s="1167"/>
      <c r="P12" s="1170"/>
      <c r="Q12" s="1180"/>
      <c r="R12" s="1180"/>
      <c r="S12" s="774" t="s">
        <v>25</v>
      </c>
      <c r="T12" s="774" t="s">
        <v>25</v>
      </c>
      <c r="U12" s="1182"/>
      <c r="V12" s="1182"/>
    </row>
    <row r="13" spans="2:22" s="773" customFormat="1" ht="18" customHeight="1">
      <c r="B13" s="1167"/>
      <c r="C13" s="1167"/>
      <c r="D13" s="1167"/>
      <c r="E13" s="1167"/>
      <c r="F13" s="1167"/>
      <c r="G13" s="1167"/>
      <c r="H13" s="1167"/>
      <c r="I13" s="1167"/>
      <c r="J13" s="1167"/>
      <c r="K13" s="1170"/>
      <c r="L13" s="774" t="s">
        <v>26</v>
      </c>
      <c r="M13" s="1167"/>
      <c r="N13" s="1167"/>
      <c r="O13" s="1167"/>
      <c r="P13" s="1170"/>
      <c r="Q13" s="1180"/>
      <c r="R13" s="1180"/>
      <c r="S13" s="774" t="s">
        <v>26</v>
      </c>
      <c r="T13" s="774" t="s">
        <v>26</v>
      </c>
      <c r="U13" s="1182"/>
      <c r="V13" s="1182"/>
    </row>
    <row r="14" spans="2:22" s="773" customFormat="1" ht="18" customHeight="1">
      <c r="B14" s="1167"/>
      <c r="C14" s="1167"/>
      <c r="D14" s="1167"/>
      <c r="E14" s="1167"/>
      <c r="F14" s="1167"/>
      <c r="G14" s="1167"/>
      <c r="H14" s="1167"/>
      <c r="I14" s="1167"/>
      <c r="J14" s="1167"/>
      <c r="K14" s="1170"/>
      <c r="L14" s="774" t="s">
        <v>27</v>
      </c>
      <c r="M14" s="1167"/>
      <c r="N14" s="1167"/>
      <c r="O14" s="1167"/>
      <c r="P14" s="1170"/>
      <c r="Q14" s="1180"/>
      <c r="R14" s="1180"/>
      <c r="S14" s="775" t="s">
        <v>27</v>
      </c>
      <c r="T14" s="775" t="s">
        <v>27</v>
      </c>
      <c r="U14" s="1182"/>
      <c r="V14" s="1182"/>
    </row>
    <row r="15" spans="2:22" s="773" customFormat="1" ht="15.75" customHeight="1">
      <c r="B15" s="1168"/>
      <c r="C15" s="1168"/>
      <c r="D15" s="1168"/>
      <c r="E15" s="1168"/>
      <c r="F15" s="1168"/>
      <c r="G15" s="1168"/>
      <c r="H15" s="1168"/>
      <c r="I15" s="1168"/>
      <c r="J15" s="1168"/>
      <c r="K15" s="1171"/>
      <c r="L15" s="775"/>
      <c r="M15" s="1168"/>
      <c r="N15" s="1168"/>
      <c r="O15" s="1168"/>
      <c r="P15" s="1171"/>
      <c r="Q15" s="1181"/>
      <c r="R15" s="1181"/>
      <c r="S15" s="776" t="s">
        <v>28</v>
      </c>
      <c r="T15" s="776" t="s">
        <v>871</v>
      </c>
      <c r="U15" s="1182"/>
      <c r="V15" s="1182"/>
    </row>
    <row r="16" spans="2:22" s="843" customFormat="1" ht="48.75" customHeight="1">
      <c r="B16" s="1201" t="s">
        <v>718</v>
      </c>
      <c r="C16" s="834"/>
      <c r="D16" s="835"/>
      <c r="E16" s="1192">
        <v>1</v>
      </c>
      <c r="F16" s="1194">
        <v>202</v>
      </c>
      <c r="G16" s="1196" t="s">
        <v>872</v>
      </c>
      <c r="H16" s="1198" t="s">
        <v>873</v>
      </c>
      <c r="I16" s="1172" t="s">
        <v>30</v>
      </c>
      <c r="J16" s="1173">
        <v>23</v>
      </c>
      <c r="K16" s="1174">
        <v>1</v>
      </c>
      <c r="L16" s="1175">
        <f>+K16/J16</f>
        <v>4.3478260869565216E-2</v>
      </c>
      <c r="M16" s="836" t="s">
        <v>812</v>
      </c>
      <c r="N16" s="837" t="s">
        <v>874</v>
      </c>
      <c r="O16" s="838">
        <v>12</v>
      </c>
      <c r="P16" s="839">
        <v>187045010</v>
      </c>
      <c r="Q16" s="889">
        <v>38415591</v>
      </c>
      <c r="R16" s="841">
        <v>6750000</v>
      </c>
      <c r="S16" s="842">
        <f t="shared" ref="S16:S33" si="0">+Q16/P16</f>
        <v>0.20538153356777603</v>
      </c>
      <c r="T16" s="842">
        <f t="shared" ref="T16:T24" si="1">+R16/P16</f>
        <v>3.6087570579936883E-2</v>
      </c>
      <c r="U16" s="1178" t="s">
        <v>946</v>
      </c>
      <c r="V16" s="1178"/>
    </row>
    <row r="17" spans="2:22" s="843" customFormat="1" ht="93.75" customHeight="1">
      <c r="B17" s="1201"/>
      <c r="C17" s="844"/>
      <c r="D17" s="845"/>
      <c r="E17" s="1192"/>
      <c r="F17" s="1194"/>
      <c r="G17" s="1196"/>
      <c r="H17" s="1198"/>
      <c r="I17" s="1172"/>
      <c r="J17" s="1173"/>
      <c r="K17" s="1174"/>
      <c r="L17" s="1176"/>
      <c r="M17" s="846" t="s">
        <v>810</v>
      </c>
      <c r="N17" s="846" t="s">
        <v>806</v>
      </c>
      <c r="O17" s="838">
        <v>3</v>
      </c>
      <c r="P17" s="847">
        <v>78571457</v>
      </c>
      <c r="Q17" s="889">
        <v>5600000</v>
      </c>
      <c r="R17" s="841">
        <v>0</v>
      </c>
      <c r="S17" s="842">
        <f t="shared" si="0"/>
        <v>7.1272701484968004E-2</v>
      </c>
      <c r="T17" s="842">
        <f t="shared" si="1"/>
        <v>0</v>
      </c>
      <c r="U17" s="1178"/>
      <c r="V17" s="1178"/>
    </row>
    <row r="18" spans="2:22" s="843" customFormat="1" ht="86.25" customHeight="1">
      <c r="B18" s="1201"/>
      <c r="C18" s="848" t="s">
        <v>875</v>
      </c>
      <c r="D18" s="849">
        <f>P18+P19+P20</f>
        <v>682316151</v>
      </c>
      <c r="E18" s="1192"/>
      <c r="F18" s="1194"/>
      <c r="G18" s="1196"/>
      <c r="H18" s="1198"/>
      <c r="I18" s="1172"/>
      <c r="J18" s="1173"/>
      <c r="K18" s="1174"/>
      <c r="L18" s="1177"/>
      <c r="M18" s="837" t="s">
        <v>815</v>
      </c>
      <c r="N18" s="837" t="s">
        <v>813</v>
      </c>
      <c r="O18" s="838">
        <v>4</v>
      </c>
      <c r="P18" s="839">
        <v>381345071</v>
      </c>
      <c r="Q18" s="889">
        <v>66650000</v>
      </c>
      <c r="R18" s="841">
        <v>18700000</v>
      </c>
      <c r="S18" s="842">
        <f>+Q18/P18</f>
        <v>0.17477608881956677</v>
      </c>
      <c r="T18" s="842">
        <f t="shared" si="1"/>
        <v>4.9036952151926466E-2</v>
      </c>
      <c r="U18" s="1178"/>
      <c r="V18" s="1178"/>
    </row>
    <row r="19" spans="2:22" s="843" customFormat="1" ht="273" customHeight="1">
      <c r="B19" s="1201"/>
      <c r="C19" s="848" t="s">
        <v>876</v>
      </c>
      <c r="D19" s="850">
        <f>P21+P16</f>
        <v>247045010</v>
      </c>
      <c r="E19" s="851">
        <v>2</v>
      </c>
      <c r="F19" s="852">
        <v>203</v>
      </c>
      <c r="G19" s="853" t="s">
        <v>877</v>
      </c>
      <c r="H19" s="852" t="s">
        <v>878</v>
      </c>
      <c r="I19" s="854" t="s">
        <v>30</v>
      </c>
      <c r="J19" s="959">
        <v>20</v>
      </c>
      <c r="K19" s="956">
        <v>10</v>
      </c>
      <c r="L19" s="842">
        <f>+K19/J19</f>
        <v>0.5</v>
      </c>
      <c r="M19" s="855" t="s">
        <v>815</v>
      </c>
      <c r="N19" s="855" t="s">
        <v>817</v>
      </c>
      <c r="O19" s="856">
        <v>4</v>
      </c>
      <c r="P19" s="857">
        <v>190771080</v>
      </c>
      <c r="Q19" s="889">
        <v>13820000</v>
      </c>
      <c r="R19" s="840">
        <v>13820000</v>
      </c>
      <c r="S19" s="842">
        <f>+Q19/P19</f>
        <v>7.2442846158862234E-2</v>
      </c>
      <c r="T19" s="842">
        <f t="shared" si="1"/>
        <v>7.2442846158862234E-2</v>
      </c>
      <c r="U19" s="1178" t="s">
        <v>919</v>
      </c>
      <c r="V19" s="1178"/>
    </row>
    <row r="20" spans="2:22" s="843" customFormat="1" ht="60" customHeight="1">
      <c r="B20" s="1201"/>
      <c r="C20" s="848" t="s">
        <v>879</v>
      </c>
      <c r="D20" s="850">
        <f>P17</f>
        <v>78571457</v>
      </c>
      <c r="E20" s="1191">
        <v>3</v>
      </c>
      <c r="F20" s="1193">
        <v>204</v>
      </c>
      <c r="G20" s="1195" t="s">
        <v>880</v>
      </c>
      <c r="H20" s="1197" t="s">
        <v>881</v>
      </c>
      <c r="I20" s="1199" t="s">
        <v>30</v>
      </c>
      <c r="J20" s="1190">
        <v>13</v>
      </c>
      <c r="K20" s="1183">
        <v>0</v>
      </c>
      <c r="L20" s="1175">
        <f t="shared" ref="L20" si="2">+K20/J20</f>
        <v>0</v>
      </c>
      <c r="M20" s="836" t="s">
        <v>812</v>
      </c>
      <c r="N20" s="855" t="s">
        <v>822</v>
      </c>
      <c r="O20" s="858">
        <v>4</v>
      </c>
      <c r="P20" s="859">
        <v>110200000</v>
      </c>
      <c r="Q20" s="889">
        <v>3000000</v>
      </c>
      <c r="R20" s="840">
        <v>600000</v>
      </c>
      <c r="S20" s="842">
        <f>+Q21/P20</f>
        <v>3.6297640653357534E-2</v>
      </c>
      <c r="T20" s="842">
        <f>+R21/P20</f>
        <v>1.3611615245009074E-2</v>
      </c>
      <c r="U20" s="1178" t="s">
        <v>920</v>
      </c>
      <c r="V20" s="1178"/>
    </row>
    <row r="21" spans="2:22" s="843" customFormat="1" ht="62.25" customHeight="1">
      <c r="B21" s="1201"/>
      <c r="C21" s="834"/>
      <c r="D21" s="849"/>
      <c r="E21" s="1192"/>
      <c r="F21" s="1194"/>
      <c r="G21" s="1196"/>
      <c r="H21" s="1198"/>
      <c r="I21" s="1172"/>
      <c r="J21" s="1200"/>
      <c r="K21" s="1184"/>
      <c r="L21" s="1177"/>
      <c r="M21" s="860" t="s">
        <v>812</v>
      </c>
      <c r="N21" s="855" t="s">
        <v>823</v>
      </c>
      <c r="O21" s="861">
        <v>12</v>
      </c>
      <c r="P21" s="862">
        <v>60000000</v>
      </c>
      <c r="Q21" s="958">
        <v>4000000</v>
      </c>
      <c r="R21" s="841">
        <v>1500000</v>
      </c>
      <c r="S21" s="842">
        <f>+R21/P21</f>
        <v>2.5000000000000001E-2</v>
      </c>
      <c r="T21" s="842">
        <f>+R21/P21</f>
        <v>2.5000000000000001E-2</v>
      </c>
      <c r="U21" s="1178"/>
      <c r="V21" s="1178"/>
    </row>
    <row r="22" spans="2:22" s="843" customFormat="1" ht="77.099999999999994" customHeight="1">
      <c r="B22" s="1185" t="s">
        <v>725</v>
      </c>
      <c r="C22" s="852" t="s">
        <v>875</v>
      </c>
      <c r="D22" s="863">
        <f>P23</f>
        <v>80000000</v>
      </c>
      <c r="E22" s="1186">
        <v>4</v>
      </c>
      <c r="F22" s="1187">
        <v>205</v>
      </c>
      <c r="G22" s="1188" t="s">
        <v>882</v>
      </c>
      <c r="H22" s="1187" t="s">
        <v>883</v>
      </c>
      <c r="I22" s="1189" t="s">
        <v>109</v>
      </c>
      <c r="J22" s="1190">
        <v>1</v>
      </c>
      <c r="K22" s="1183">
        <v>0</v>
      </c>
      <c r="L22" s="1175">
        <f>+K22/J22</f>
        <v>0</v>
      </c>
      <c r="M22" s="855" t="s">
        <v>812</v>
      </c>
      <c r="N22" s="855" t="s">
        <v>826</v>
      </c>
      <c r="O22" s="856">
        <v>12</v>
      </c>
      <c r="P22" s="862">
        <v>120000000</v>
      </c>
      <c r="Q22" s="889">
        <v>7000000</v>
      </c>
      <c r="R22" s="841">
        <v>1750000</v>
      </c>
      <c r="S22" s="842">
        <f t="shared" si="0"/>
        <v>5.8333333333333334E-2</v>
      </c>
      <c r="T22" s="842">
        <f t="shared" si="1"/>
        <v>1.4583333333333334E-2</v>
      </c>
      <c r="U22" s="1178" t="s">
        <v>948</v>
      </c>
      <c r="V22" s="1178"/>
    </row>
    <row r="23" spans="2:22" s="843" customFormat="1" ht="69" customHeight="1">
      <c r="B23" s="1185"/>
      <c r="C23" s="864" t="s">
        <v>876</v>
      </c>
      <c r="D23" s="865">
        <f>P22</f>
        <v>120000000</v>
      </c>
      <c r="E23" s="1186"/>
      <c r="F23" s="1187"/>
      <c r="G23" s="1188"/>
      <c r="H23" s="1187"/>
      <c r="I23" s="1189"/>
      <c r="J23" s="1190"/>
      <c r="K23" s="1183"/>
      <c r="L23" s="1177"/>
      <c r="M23" s="855" t="s">
        <v>815</v>
      </c>
      <c r="N23" s="855" t="s">
        <v>830</v>
      </c>
      <c r="O23" s="856">
        <v>4</v>
      </c>
      <c r="P23" s="866">
        <v>80000000</v>
      </c>
      <c r="Q23" s="889">
        <v>0</v>
      </c>
      <c r="R23" s="841">
        <v>0</v>
      </c>
      <c r="S23" s="842">
        <f t="shared" si="0"/>
        <v>0</v>
      </c>
      <c r="T23" s="842">
        <f t="shared" si="1"/>
        <v>0</v>
      </c>
      <c r="U23" s="1178"/>
      <c r="V23" s="1178"/>
    </row>
    <row r="24" spans="2:22" s="843" customFormat="1" ht="119.25" customHeight="1">
      <c r="B24" s="1202" t="s">
        <v>729</v>
      </c>
      <c r="C24" s="867"/>
      <c r="D24" s="867"/>
      <c r="E24" s="868">
        <v>5</v>
      </c>
      <c r="F24" s="852">
        <v>206</v>
      </c>
      <c r="G24" s="853" t="s">
        <v>884</v>
      </c>
      <c r="H24" s="852" t="s">
        <v>885</v>
      </c>
      <c r="I24" s="854" t="s">
        <v>109</v>
      </c>
      <c r="J24" s="959">
        <v>12</v>
      </c>
      <c r="K24" s="956">
        <v>8</v>
      </c>
      <c r="L24" s="842">
        <f>+K24/J24</f>
        <v>0.66666666666666663</v>
      </c>
      <c r="M24" s="860" t="s">
        <v>812</v>
      </c>
      <c r="N24" s="860" t="s">
        <v>832</v>
      </c>
      <c r="O24" s="860">
        <v>12</v>
      </c>
      <c r="P24" s="862">
        <v>55000000</v>
      </c>
      <c r="Q24" s="958">
        <v>50620000</v>
      </c>
      <c r="R24" s="869">
        <v>11010000</v>
      </c>
      <c r="S24" s="842">
        <f>+Q24/P24</f>
        <v>0.92036363636363638</v>
      </c>
      <c r="T24" s="842">
        <f t="shared" si="1"/>
        <v>0.20018181818181818</v>
      </c>
      <c r="U24" s="1204" t="s">
        <v>935</v>
      </c>
      <c r="V24" s="1205"/>
    </row>
    <row r="25" spans="2:22" ht="72.75" customHeight="1">
      <c r="B25" s="1201"/>
      <c r="C25" s="870" t="s">
        <v>886</v>
      </c>
      <c r="D25" s="871">
        <f>P27</f>
        <v>30000000</v>
      </c>
      <c r="E25" s="1206">
        <v>6</v>
      </c>
      <c r="F25" s="1193">
        <v>207</v>
      </c>
      <c r="G25" s="1195" t="s">
        <v>887</v>
      </c>
      <c r="H25" s="1193" t="s">
        <v>888</v>
      </c>
      <c r="I25" s="1199" t="s">
        <v>109</v>
      </c>
      <c r="J25" s="1200">
        <v>1</v>
      </c>
      <c r="K25" s="1184">
        <v>0</v>
      </c>
      <c r="L25" s="1175">
        <f>+K25/J25</f>
        <v>0</v>
      </c>
      <c r="M25" s="837" t="s">
        <v>812</v>
      </c>
      <c r="N25" s="837" t="s">
        <v>836</v>
      </c>
      <c r="O25" s="837">
        <v>12</v>
      </c>
      <c r="P25" s="839">
        <v>60000000</v>
      </c>
      <c r="Q25" s="958">
        <v>0</v>
      </c>
      <c r="R25" s="841">
        <v>0</v>
      </c>
      <c r="S25" s="842">
        <f>+Q25/P25</f>
        <v>0</v>
      </c>
      <c r="T25" s="842">
        <f>+R25/P25</f>
        <v>0</v>
      </c>
      <c r="U25" s="1204" t="s">
        <v>936</v>
      </c>
      <c r="V25" s="1205"/>
    </row>
    <row r="26" spans="2:22" ht="71.25" customHeight="1">
      <c r="B26" s="1201"/>
      <c r="C26" s="870" t="s">
        <v>879</v>
      </c>
      <c r="D26" s="871">
        <f>P26</f>
        <v>6552853</v>
      </c>
      <c r="E26" s="1207"/>
      <c r="F26" s="1194"/>
      <c r="G26" s="1196"/>
      <c r="H26" s="1194"/>
      <c r="I26" s="1172"/>
      <c r="J26" s="1173"/>
      <c r="K26" s="1174"/>
      <c r="L26" s="1177"/>
      <c r="M26" s="837" t="s">
        <v>810</v>
      </c>
      <c r="N26" s="837" t="s">
        <v>889</v>
      </c>
      <c r="O26" s="837">
        <v>3</v>
      </c>
      <c r="P26" s="872">
        <v>6552853</v>
      </c>
      <c r="Q26" s="958">
        <v>4000000</v>
      </c>
      <c r="R26" s="841">
        <v>1500000</v>
      </c>
      <c r="S26" s="842">
        <f>+Q26/P26</f>
        <v>0.61042114022701255</v>
      </c>
      <c r="T26" s="842">
        <f>+R26/P26</f>
        <v>0.22890792758512971</v>
      </c>
      <c r="U26" s="1208"/>
      <c r="V26" s="1209"/>
    </row>
    <row r="27" spans="2:22" ht="61.5" customHeight="1">
      <c r="B27" s="1201"/>
      <c r="C27" s="870" t="s">
        <v>876</v>
      </c>
      <c r="D27" s="871">
        <f>P24+P25+P28</f>
        <v>140000000</v>
      </c>
      <c r="E27" s="1191">
        <v>7</v>
      </c>
      <c r="F27" s="1193">
        <v>208</v>
      </c>
      <c r="G27" s="1195" t="s">
        <v>890</v>
      </c>
      <c r="H27" s="1195" t="s">
        <v>891</v>
      </c>
      <c r="I27" s="1199" t="s">
        <v>30</v>
      </c>
      <c r="J27" s="1200">
        <v>1</v>
      </c>
      <c r="K27" s="1184">
        <v>0</v>
      </c>
      <c r="L27" s="1175">
        <f>+K27/J27</f>
        <v>0</v>
      </c>
      <c r="M27" s="855" t="s">
        <v>815</v>
      </c>
      <c r="N27" s="855" t="s">
        <v>839</v>
      </c>
      <c r="O27" s="873">
        <v>4</v>
      </c>
      <c r="P27" s="862">
        <v>30000000</v>
      </c>
      <c r="Q27" s="889">
        <v>3480000</v>
      </c>
      <c r="R27" s="869">
        <v>2120000</v>
      </c>
      <c r="S27" s="842">
        <f t="shared" ref="S27" si="3">+Q27/P27</f>
        <v>0.11600000000000001</v>
      </c>
      <c r="T27" s="842">
        <f>+R27/P27</f>
        <v>7.0666666666666669E-2</v>
      </c>
      <c r="U27" s="1178" t="s">
        <v>949</v>
      </c>
      <c r="V27" s="1178"/>
    </row>
    <row r="28" spans="2:22" ht="60" customHeight="1">
      <c r="B28" s="1203"/>
      <c r="C28" s="874"/>
      <c r="D28" s="875"/>
      <c r="E28" s="1192"/>
      <c r="F28" s="1194"/>
      <c r="G28" s="1196"/>
      <c r="H28" s="1196"/>
      <c r="I28" s="1172"/>
      <c r="J28" s="1173"/>
      <c r="K28" s="1174"/>
      <c r="L28" s="1177"/>
      <c r="M28" s="855" t="s">
        <v>812</v>
      </c>
      <c r="N28" s="855" t="s">
        <v>841</v>
      </c>
      <c r="O28" s="873">
        <v>12</v>
      </c>
      <c r="P28" s="862">
        <v>25000000</v>
      </c>
      <c r="Q28" s="889">
        <v>6000000</v>
      </c>
      <c r="R28" s="869">
        <v>2500000</v>
      </c>
      <c r="S28" s="842">
        <f>+Q28/P28</f>
        <v>0.24</v>
      </c>
      <c r="T28" s="842">
        <f>+R28/P28</f>
        <v>0.1</v>
      </c>
      <c r="U28" s="1178"/>
      <c r="V28" s="1178"/>
    </row>
    <row r="29" spans="2:22" ht="127.5" customHeight="1">
      <c r="B29" s="1202" t="s">
        <v>737</v>
      </c>
      <c r="C29" s="876"/>
      <c r="D29" s="863"/>
      <c r="E29" s="851">
        <v>8</v>
      </c>
      <c r="F29" s="852">
        <v>209</v>
      </c>
      <c r="G29" s="853" t="s">
        <v>892</v>
      </c>
      <c r="H29" s="877" t="s">
        <v>893</v>
      </c>
      <c r="I29" s="854" t="s">
        <v>30</v>
      </c>
      <c r="J29" s="959">
        <v>1</v>
      </c>
      <c r="K29" s="956">
        <v>0</v>
      </c>
      <c r="L29" s="842">
        <f>+K29/J29</f>
        <v>0</v>
      </c>
      <c r="M29" s="860" t="s">
        <v>810</v>
      </c>
      <c r="N29" s="855" t="s">
        <v>844</v>
      </c>
      <c r="O29" s="856">
        <v>3</v>
      </c>
      <c r="P29" s="878">
        <v>30000000</v>
      </c>
      <c r="Q29" s="889">
        <v>6400000</v>
      </c>
      <c r="R29" s="869">
        <v>2200000</v>
      </c>
      <c r="S29" s="842">
        <f>+Q27/P29</f>
        <v>0.11600000000000001</v>
      </c>
      <c r="T29" s="842">
        <f>+R27/P29</f>
        <v>7.0666666666666669E-2</v>
      </c>
      <c r="U29" s="1178" t="s">
        <v>939</v>
      </c>
      <c r="V29" s="1178"/>
    </row>
    <row r="30" spans="2:22" ht="57.75" customHeight="1">
      <c r="B30" s="1201"/>
      <c r="C30" s="870" t="s">
        <v>886</v>
      </c>
      <c r="D30" s="871">
        <f>P30</f>
        <v>9000000</v>
      </c>
      <c r="E30" s="1206">
        <v>9</v>
      </c>
      <c r="F30" s="1193">
        <v>210</v>
      </c>
      <c r="G30" s="1195" t="s">
        <v>894</v>
      </c>
      <c r="H30" s="1197" t="s">
        <v>893</v>
      </c>
      <c r="I30" s="1199" t="s">
        <v>30</v>
      </c>
      <c r="J30" s="1200">
        <v>1</v>
      </c>
      <c r="K30" s="1184">
        <v>0</v>
      </c>
      <c r="L30" s="1175">
        <f>+K30/J30</f>
        <v>0</v>
      </c>
      <c r="M30" s="860" t="s">
        <v>815</v>
      </c>
      <c r="N30" s="855" t="s">
        <v>849</v>
      </c>
      <c r="O30" s="856">
        <v>4</v>
      </c>
      <c r="P30" s="879">
        <v>9000000</v>
      </c>
      <c r="Q30" s="889">
        <v>0</v>
      </c>
      <c r="R30" s="840">
        <v>0</v>
      </c>
      <c r="S30" s="842">
        <f t="shared" si="0"/>
        <v>0</v>
      </c>
      <c r="T30" s="842">
        <f t="shared" ref="T30:T32" si="4">+R30/P30</f>
        <v>0</v>
      </c>
      <c r="U30" s="1178" t="s">
        <v>938</v>
      </c>
      <c r="V30" s="1178"/>
    </row>
    <row r="31" spans="2:22" ht="48" customHeight="1">
      <c r="B31" s="1201"/>
      <c r="C31" s="870" t="s">
        <v>879</v>
      </c>
      <c r="D31" s="871">
        <f>P31+P32+P29</f>
        <v>80000000</v>
      </c>
      <c r="E31" s="1207"/>
      <c r="F31" s="1194"/>
      <c r="G31" s="1196"/>
      <c r="H31" s="1198"/>
      <c r="I31" s="1172"/>
      <c r="J31" s="1173"/>
      <c r="K31" s="1174"/>
      <c r="L31" s="1177"/>
      <c r="M31" s="860" t="s">
        <v>810</v>
      </c>
      <c r="N31" s="855" t="s">
        <v>851</v>
      </c>
      <c r="O31" s="856">
        <v>3</v>
      </c>
      <c r="P31" s="878">
        <v>25000000</v>
      </c>
      <c r="Q31" s="889">
        <v>7400000</v>
      </c>
      <c r="R31" s="840">
        <v>2200000</v>
      </c>
      <c r="S31" s="842">
        <f t="shared" si="0"/>
        <v>0.29599999999999999</v>
      </c>
      <c r="T31" s="842">
        <f t="shared" si="4"/>
        <v>8.7999999999999995E-2</v>
      </c>
      <c r="U31" s="1178"/>
      <c r="V31" s="1178"/>
    </row>
    <row r="32" spans="2:22" ht="39.75" customHeight="1">
      <c r="B32" s="1201"/>
      <c r="C32" s="870" t="s">
        <v>895</v>
      </c>
      <c r="D32" s="871">
        <f>P33</f>
        <v>40000000</v>
      </c>
      <c r="E32" s="1192">
        <v>10</v>
      </c>
      <c r="F32" s="1193">
        <v>211</v>
      </c>
      <c r="G32" s="1195" t="s">
        <v>739</v>
      </c>
      <c r="H32" s="1195" t="s">
        <v>896</v>
      </c>
      <c r="I32" s="1199" t="s">
        <v>30</v>
      </c>
      <c r="J32" s="1200">
        <v>1</v>
      </c>
      <c r="K32" s="1184">
        <v>0</v>
      </c>
      <c r="L32" s="1175">
        <f>+K32/J32</f>
        <v>0</v>
      </c>
      <c r="M32" s="860" t="s">
        <v>810</v>
      </c>
      <c r="N32" s="855" t="s">
        <v>853</v>
      </c>
      <c r="O32" s="856">
        <v>3</v>
      </c>
      <c r="P32" s="1042">
        <v>25000000</v>
      </c>
      <c r="Q32" s="958">
        <v>4000000</v>
      </c>
      <c r="R32" s="841">
        <v>0</v>
      </c>
      <c r="S32" s="842">
        <f t="shared" si="0"/>
        <v>0.16</v>
      </c>
      <c r="T32" s="842">
        <f t="shared" si="4"/>
        <v>0</v>
      </c>
      <c r="U32" s="1178" t="s">
        <v>937</v>
      </c>
      <c r="V32" s="1178"/>
    </row>
    <row r="33" spans="1:28" ht="100.5" customHeight="1">
      <c r="B33" s="1201"/>
      <c r="C33" s="880"/>
      <c r="D33" s="881"/>
      <c r="E33" s="1192"/>
      <c r="F33" s="1194"/>
      <c r="G33" s="1196"/>
      <c r="H33" s="1196"/>
      <c r="I33" s="1172"/>
      <c r="J33" s="1173"/>
      <c r="K33" s="1174"/>
      <c r="L33" s="1177"/>
      <c r="M33" s="855" t="s">
        <v>812</v>
      </c>
      <c r="N33" s="1054" t="s">
        <v>897</v>
      </c>
      <c r="O33" s="856">
        <v>6</v>
      </c>
      <c r="P33" s="1043">
        <v>40000000</v>
      </c>
      <c r="Q33" s="958">
        <v>15500000</v>
      </c>
      <c r="R33" s="841">
        <v>6200000</v>
      </c>
      <c r="S33" s="842">
        <f t="shared" si="0"/>
        <v>0.38750000000000001</v>
      </c>
      <c r="T33" s="842">
        <f>+R33/P33</f>
        <v>0.155</v>
      </c>
      <c r="U33" s="1178"/>
      <c r="V33" s="1178"/>
    </row>
    <row r="34" spans="1:28" ht="84.75" customHeight="1">
      <c r="B34" s="882" t="s">
        <v>858</v>
      </c>
      <c r="C34" s="883" t="s">
        <v>879</v>
      </c>
      <c r="D34" s="881">
        <f>+P34</f>
        <v>40000000</v>
      </c>
      <c r="E34" s="884">
        <v>11</v>
      </c>
      <c r="F34" s="1193">
        <v>212</v>
      </c>
      <c r="G34" s="1187" t="s">
        <v>898</v>
      </c>
      <c r="H34" s="1187" t="s">
        <v>899</v>
      </c>
      <c r="I34" s="1189" t="s">
        <v>30</v>
      </c>
      <c r="J34" s="1200">
        <v>1</v>
      </c>
      <c r="K34" s="1184">
        <v>1</v>
      </c>
      <c r="L34" s="1175">
        <f>+K34/J34</f>
        <v>1</v>
      </c>
      <c r="M34" s="860" t="s">
        <v>810</v>
      </c>
      <c r="N34" s="855" t="s">
        <v>857</v>
      </c>
      <c r="O34" s="873">
        <v>3</v>
      </c>
      <c r="P34" s="1044">
        <v>40000000</v>
      </c>
      <c r="Q34" s="889">
        <v>30633333</v>
      </c>
      <c r="R34" s="840">
        <v>14883333</v>
      </c>
      <c r="S34" s="842">
        <f>+Q34/P34</f>
        <v>0.76583332500000001</v>
      </c>
      <c r="T34" s="842">
        <f>+R34/P34</f>
        <v>0.37208332500000002</v>
      </c>
      <c r="U34" s="1211" t="s">
        <v>921</v>
      </c>
      <c r="V34" s="1211"/>
    </row>
    <row r="35" spans="1:28" ht="84.75" customHeight="1">
      <c r="B35" s="882"/>
      <c r="C35" s="1046"/>
      <c r="D35" s="881"/>
      <c r="E35" s="1047"/>
      <c r="F35" s="1215"/>
      <c r="G35" s="1187"/>
      <c r="H35" s="1187"/>
      <c r="I35" s="1189"/>
      <c r="J35" s="1216"/>
      <c r="K35" s="1217"/>
      <c r="L35" s="1177"/>
      <c r="M35" s="860" t="s">
        <v>812</v>
      </c>
      <c r="N35" s="1054" t="s">
        <v>897</v>
      </c>
      <c r="O35" s="873">
        <v>12</v>
      </c>
      <c r="P35" s="1044">
        <v>10000000</v>
      </c>
      <c r="Q35" s="889">
        <v>0</v>
      </c>
      <c r="R35" s="840">
        <v>0</v>
      </c>
      <c r="S35" s="1045">
        <f>+Q35/P35</f>
        <v>0</v>
      </c>
      <c r="T35" s="1045">
        <f>+R35/P35</f>
        <v>0</v>
      </c>
      <c r="U35" s="1052"/>
      <c r="V35" s="1053"/>
    </row>
    <row r="36" spans="1:28" ht="84" customHeight="1">
      <c r="B36" s="885" t="s">
        <v>748</v>
      </c>
      <c r="C36" s="864" t="s">
        <v>875</v>
      </c>
      <c r="D36" s="886">
        <f>+P36</f>
        <v>20000000</v>
      </c>
      <c r="E36" s="884">
        <v>12</v>
      </c>
      <c r="F36" s="887">
        <v>213</v>
      </c>
      <c r="G36" s="864" t="s">
        <v>900</v>
      </c>
      <c r="H36" s="864" t="s">
        <v>901</v>
      </c>
      <c r="I36" s="888" t="s">
        <v>30</v>
      </c>
      <c r="J36" s="959">
        <v>12</v>
      </c>
      <c r="K36" s="956">
        <v>7</v>
      </c>
      <c r="L36" s="842">
        <f>+K36/J36</f>
        <v>0.58333333333333337</v>
      </c>
      <c r="M36" s="855" t="s">
        <v>815</v>
      </c>
      <c r="N36" s="855" t="s">
        <v>902</v>
      </c>
      <c r="O36" s="873">
        <v>3</v>
      </c>
      <c r="P36" s="859">
        <v>20000000</v>
      </c>
      <c r="Q36" s="889">
        <v>19360000</v>
      </c>
      <c r="R36" s="889">
        <v>4580000</v>
      </c>
      <c r="S36" s="842">
        <f>+Q36/P36</f>
        <v>0.96799999999999997</v>
      </c>
      <c r="T36" s="842">
        <f>+R36/P36</f>
        <v>0.22900000000000001</v>
      </c>
      <c r="U36" s="1204" t="s">
        <v>940</v>
      </c>
      <c r="V36" s="1205"/>
    </row>
    <row r="37" spans="1:28" s="890" customFormat="1" ht="33.75" customHeight="1">
      <c r="B37" s="1212"/>
      <c r="C37" s="1212"/>
      <c r="D37" s="891">
        <f>SUM(D16:D36)</f>
        <v>1573485471</v>
      </c>
      <c r="E37" s="892"/>
      <c r="F37" s="893"/>
      <c r="G37" s="6" t="s">
        <v>903</v>
      </c>
      <c r="H37" s="2"/>
      <c r="I37" s="894"/>
      <c r="J37" s="895"/>
      <c r="K37" s="896"/>
      <c r="L37" s="896"/>
      <c r="M37" s="897"/>
      <c r="N37" s="898"/>
      <c r="O37" s="899"/>
      <c r="P37" s="900">
        <f>SUM(P16:P36)</f>
        <v>1583485471</v>
      </c>
      <c r="Q37" s="900">
        <f>SUM(Q16:Q36)</f>
        <v>285878924</v>
      </c>
      <c r="R37" s="900">
        <f>SUM(R16:R36)</f>
        <v>90313333</v>
      </c>
      <c r="S37" s="842">
        <f>+Q37/P37</f>
        <v>0.18053776257224655</v>
      </c>
      <c r="T37" s="842">
        <f>+R37/P37</f>
        <v>5.7034519516598707E-2</v>
      </c>
      <c r="U37" s="1213"/>
      <c r="V37" s="1214"/>
    </row>
    <row r="38" spans="1:28">
      <c r="I38" s="905"/>
      <c r="K38" s="907"/>
      <c r="P38" s="910"/>
      <c r="Q38" s="912" t="s">
        <v>186</v>
      </c>
      <c r="R38" s="913"/>
      <c r="S38" s="843"/>
      <c r="T38" s="843"/>
    </row>
    <row r="39" spans="1:28">
      <c r="B39" s="915" t="s">
        <v>34</v>
      </c>
      <c r="I39" s="905"/>
      <c r="K39" s="907"/>
      <c r="N39" s="916"/>
      <c r="O39" s="917"/>
      <c r="P39" s="918"/>
      <c r="R39" s="920"/>
    </row>
    <row r="40" spans="1:28" ht="36" customHeight="1">
      <c r="G40" s="921" t="s">
        <v>35</v>
      </c>
      <c r="H40" s="895" t="s">
        <v>36</v>
      </c>
      <c r="I40" s="895" t="s">
        <v>37</v>
      </c>
      <c r="Q40" s="957"/>
      <c r="R40" s="924"/>
    </row>
    <row r="41" spans="1:28" ht="15.75" customHeight="1">
      <c r="G41" s="163" t="s">
        <v>802</v>
      </c>
      <c r="H41" s="925"/>
      <c r="I41" s="926"/>
      <c r="Q41" s="923"/>
      <c r="R41" s="924"/>
      <c r="T41" s="1218"/>
      <c r="U41" s="1218"/>
      <c r="V41" s="1218"/>
      <c r="W41" s="1218"/>
      <c r="X41" s="1218"/>
      <c r="Y41" s="1218"/>
      <c r="Z41" s="1218"/>
      <c r="AA41" s="1218"/>
      <c r="AB41" s="1218"/>
    </row>
    <row r="42" spans="1:28" ht="17.25" customHeight="1">
      <c r="B42" s="1219" t="s">
        <v>941</v>
      </c>
      <c r="C42" s="1219"/>
      <c r="D42" s="927"/>
      <c r="E42" s="927"/>
      <c r="F42" s="928"/>
      <c r="G42" s="163" t="s">
        <v>38</v>
      </c>
      <c r="H42" s="929"/>
      <c r="I42" s="926"/>
      <c r="Q42" s="923"/>
      <c r="R42" s="920"/>
      <c r="T42" s="1218"/>
      <c r="U42" s="1218"/>
      <c r="V42" s="1218"/>
      <c r="W42" s="1218"/>
      <c r="X42" s="1218"/>
      <c r="Y42" s="1218"/>
      <c r="Z42" s="1218"/>
      <c r="AA42" s="1218"/>
      <c r="AB42" s="1218"/>
    </row>
    <row r="43" spans="1:28" ht="23.25" customHeight="1">
      <c r="A43" s="930"/>
      <c r="B43" s="1219"/>
      <c r="C43" s="1219"/>
      <c r="D43" s="927"/>
      <c r="E43" s="927"/>
      <c r="F43" s="928"/>
      <c r="G43" s="163" t="s">
        <v>39</v>
      </c>
      <c r="H43" s="931"/>
      <c r="I43" s="926"/>
      <c r="Q43" s="923"/>
      <c r="R43" s="1220"/>
    </row>
    <row r="44" spans="1:28" ht="21" customHeight="1">
      <c r="B44" s="1210" t="s">
        <v>942</v>
      </c>
      <c r="C44" s="1210"/>
      <c r="D44" s="1210"/>
      <c r="E44" s="1210"/>
      <c r="F44" s="932"/>
      <c r="G44" s="163" t="s">
        <v>40</v>
      </c>
      <c r="H44" s="933"/>
      <c r="I44" s="926"/>
      <c r="Q44" s="923"/>
      <c r="R44" s="1220"/>
    </row>
    <row r="45" spans="1:28" s="938" customFormat="1" ht="19.5" customHeight="1">
      <c r="A45" s="934"/>
      <c r="B45" s="1210" t="s">
        <v>945</v>
      </c>
      <c r="C45" s="1210"/>
      <c r="D45" s="1210"/>
      <c r="E45" s="1210"/>
      <c r="F45" s="932"/>
      <c r="G45" s="163" t="s">
        <v>41</v>
      </c>
      <c r="H45" s="935"/>
      <c r="I45" s="926"/>
      <c r="J45" s="936"/>
      <c r="K45" s="922"/>
      <c r="L45" s="908"/>
      <c r="M45" s="909"/>
      <c r="N45" s="910"/>
      <c r="O45" s="911"/>
      <c r="P45" s="923"/>
      <c r="Q45" s="919"/>
      <c r="R45" s="937"/>
      <c r="U45" s="939"/>
    </row>
  </sheetData>
  <mergeCells count="109">
    <mergeCell ref="F34:F35"/>
    <mergeCell ref="G34:G35"/>
    <mergeCell ref="H34:H35"/>
    <mergeCell ref="L34:L35"/>
    <mergeCell ref="I34:I35"/>
    <mergeCell ref="J34:J35"/>
    <mergeCell ref="K34:K35"/>
    <mergeCell ref="T41:AB42"/>
    <mergeCell ref="B42:C43"/>
    <mergeCell ref="R43:R44"/>
    <mergeCell ref="B44:E44"/>
    <mergeCell ref="B45:E45"/>
    <mergeCell ref="K32:K33"/>
    <mergeCell ref="L32:L33"/>
    <mergeCell ref="U32:V33"/>
    <mergeCell ref="U34:V34"/>
    <mergeCell ref="U36:V36"/>
    <mergeCell ref="B37:C37"/>
    <mergeCell ref="U37:V37"/>
    <mergeCell ref="B29:B33"/>
    <mergeCell ref="U29:V29"/>
    <mergeCell ref="E30:E31"/>
    <mergeCell ref="F30:F31"/>
    <mergeCell ref="G30:G31"/>
    <mergeCell ref="H30:H31"/>
    <mergeCell ref="I30:I31"/>
    <mergeCell ref="J30:J31"/>
    <mergeCell ref="K30:K31"/>
    <mergeCell ref="L30:L31"/>
    <mergeCell ref="U30:V31"/>
    <mergeCell ref="E32:E33"/>
    <mergeCell ref="F32:F33"/>
    <mergeCell ref="G32:G33"/>
    <mergeCell ref="H32:H33"/>
    <mergeCell ref="I32:I33"/>
    <mergeCell ref="J32:J33"/>
    <mergeCell ref="B24:B28"/>
    <mergeCell ref="U24:V24"/>
    <mergeCell ref="E25:E26"/>
    <mergeCell ref="F25:F26"/>
    <mergeCell ref="G25:G26"/>
    <mergeCell ref="H25:H26"/>
    <mergeCell ref="I25:I26"/>
    <mergeCell ref="J25:J26"/>
    <mergeCell ref="K25:K26"/>
    <mergeCell ref="L25:L26"/>
    <mergeCell ref="U25:V26"/>
    <mergeCell ref="E27:E28"/>
    <mergeCell ref="F27:F28"/>
    <mergeCell ref="G27:G28"/>
    <mergeCell ref="H27:H28"/>
    <mergeCell ref="I27:I28"/>
    <mergeCell ref="J27:J28"/>
    <mergeCell ref="K27:K28"/>
    <mergeCell ref="L27:L28"/>
    <mergeCell ref="U27:V28"/>
    <mergeCell ref="K20:K21"/>
    <mergeCell ref="L20:L21"/>
    <mergeCell ref="U20:V21"/>
    <mergeCell ref="B22:B23"/>
    <mergeCell ref="E22:E23"/>
    <mergeCell ref="F22:F23"/>
    <mergeCell ref="G22:G23"/>
    <mergeCell ref="H22:H23"/>
    <mergeCell ref="I22:I23"/>
    <mergeCell ref="J22:J23"/>
    <mergeCell ref="E20:E21"/>
    <mergeCell ref="F20:F21"/>
    <mergeCell ref="G20:G21"/>
    <mergeCell ref="H20:H21"/>
    <mergeCell ref="I20:I21"/>
    <mergeCell ref="J20:J21"/>
    <mergeCell ref="B16:B21"/>
    <mergeCell ref="E16:E18"/>
    <mergeCell ref="F16:F18"/>
    <mergeCell ref="G16:G18"/>
    <mergeCell ref="H16:H18"/>
    <mergeCell ref="K22:K23"/>
    <mergeCell ref="L22:L23"/>
    <mergeCell ref="U22:V23"/>
    <mergeCell ref="I16:I18"/>
    <mergeCell ref="J16:J18"/>
    <mergeCell ref="K16:K18"/>
    <mergeCell ref="L16:L18"/>
    <mergeCell ref="U16:V18"/>
    <mergeCell ref="U19:V19"/>
    <mergeCell ref="O9:O15"/>
    <mergeCell ref="P9:P15"/>
    <mergeCell ref="Q9:Q15"/>
    <mergeCell ref="R9:R15"/>
    <mergeCell ref="U9:V15"/>
    <mergeCell ref="B1:C4"/>
    <mergeCell ref="D1:U2"/>
    <mergeCell ref="D3:U4"/>
    <mergeCell ref="B5:V5"/>
    <mergeCell ref="B6:V6"/>
    <mergeCell ref="B7:V7"/>
    <mergeCell ref="H9:H15"/>
    <mergeCell ref="I9:I15"/>
    <mergeCell ref="J9:J15"/>
    <mergeCell ref="K9:K15"/>
    <mergeCell ref="M9:M15"/>
    <mergeCell ref="N9:N15"/>
    <mergeCell ref="B9:B15"/>
    <mergeCell ref="C9:C15"/>
    <mergeCell ref="D9:D15"/>
    <mergeCell ref="E9:E15"/>
    <mergeCell ref="F9:F15"/>
    <mergeCell ref="G9:G15"/>
  </mergeCells>
  <conditionalFormatting sqref="S16:T37">
    <cfRule type="cellIs" dxfId="71" priority="73" operator="between">
      <formula>0.4</formula>
      <formula>0.599999</formula>
    </cfRule>
    <cfRule type="cellIs" dxfId="70" priority="74" operator="between">
      <formula>0</formula>
      <formula>0.39</formula>
    </cfRule>
    <cfRule type="cellIs" dxfId="69" priority="75" operator="between">
      <formula>0.4</formula>
      <formula>0.59999</formula>
    </cfRule>
    <cfRule type="cellIs" dxfId="68" priority="76" operator="between">
      <formula>0.6</formula>
      <formula>0.6999</formula>
    </cfRule>
    <cfRule type="cellIs" dxfId="67" priority="77" operator="between">
      <formula>0.7</formula>
      <formula>0.79</formula>
    </cfRule>
    <cfRule type="cellIs" dxfId="66" priority="78" operator="between">
      <formula>0.8</formula>
      <formula>1</formula>
    </cfRule>
  </conditionalFormatting>
  <conditionalFormatting sqref="L34">
    <cfRule type="cellIs" dxfId="65" priority="7" operator="between">
      <formula>0.4</formula>
      <formula>0.599999</formula>
    </cfRule>
    <cfRule type="cellIs" dxfId="64" priority="8" operator="between">
      <formula>0</formula>
      <formula>0.39</formula>
    </cfRule>
    <cfRule type="cellIs" dxfId="63" priority="9" operator="between">
      <formula>0.4</formula>
      <formula>0.59999</formula>
    </cfRule>
    <cfRule type="cellIs" dxfId="62" priority="10" operator="between">
      <formula>0.6</formula>
      <formula>0.6999</formula>
    </cfRule>
    <cfRule type="cellIs" dxfId="61" priority="11" operator="between">
      <formula>0.7</formula>
      <formula>0.79</formula>
    </cfRule>
    <cfRule type="cellIs" dxfId="60" priority="12" operator="between">
      <formula>0.8</formula>
      <formula>1</formula>
    </cfRule>
  </conditionalFormatting>
  <conditionalFormatting sqref="L16">
    <cfRule type="cellIs" dxfId="59" priority="61" operator="between">
      <formula>0.4</formula>
      <formula>0.599999</formula>
    </cfRule>
    <cfRule type="cellIs" dxfId="58" priority="62" operator="between">
      <formula>0</formula>
      <formula>0.39</formula>
    </cfRule>
    <cfRule type="cellIs" dxfId="57" priority="63" operator="between">
      <formula>0.4</formula>
      <formula>0.59999</formula>
    </cfRule>
    <cfRule type="cellIs" dxfId="56" priority="64" operator="between">
      <formula>0.6</formula>
      <formula>0.6999</formula>
    </cfRule>
    <cfRule type="cellIs" dxfId="55" priority="65" operator="between">
      <formula>0.7</formula>
      <formula>0.79</formula>
    </cfRule>
    <cfRule type="cellIs" dxfId="54" priority="66" operator="between">
      <formula>0.8</formula>
      <formula>1</formula>
    </cfRule>
  </conditionalFormatting>
  <conditionalFormatting sqref="L19:L20">
    <cfRule type="cellIs" dxfId="53" priority="55" operator="between">
      <formula>0.4</formula>
      <formula>0.599999</formula>
    </cfRule>
    <cfRule type="cellIs" dxfId="52" priority="56" operator="between">
      <formula>0</formula>
      <formula>0.39</formula>
    </cfRule>
    <cfRule type="cellIs" dxfId="51" priority="57" operator="between">
      <formula>0.4</formula>
      <formula>0.59999</formula>
    </cfRule>
    <cfRule type="cellIs" dxfId="50" priority="58" operator="between">
      <formula>0.6</formula>
      <formula>0.6999</formula>
    </cfRule>
    <cfRule type="cellIs" dxfId="49" priority="59" operator="between">
      <formula>0.7</formula>
      <formula>0.79</formula>
    </cfRule>
    <cfRule type="cellIs" dxfId="48" priority="60" operator="between">
      <formula>0.8</formula>
      <formula>1</formula>
    </cfRule>
  </conditionalFormatting>
  <conditionalFormatting sqref="L22">
    <cfRule type="cellIs" dxfId="47" priority="49" operator="between">
      <formula>0.4</formula>
      <formula>0.599999</formula>
    </cfRule>
    <cfRule type="cellIs" dxfId="46" priority="50" operator="between">
      <formula>0</formula>
      <formula>0.39</formula>
    </cfRule>
    <cfRule type="cellIs" dxfId="45" priority="51" operator="between">
      <formula>0.4</formula>
      <formula>0.59999</formula>
    </cfRule>
    <cfRule type="cellIs" dxfId="44" priority="52" operator="between">
      <formula>0.6</formula>
      <formula>0.6999</formula>
    </cfRule>
    <cfRule type="cellIs" dxfId="43" priority="53" operator="between">
      <formula>0.7</formula>
      <formula>0.79</formula>
    </cfRule>
    <cfRule type="cellIs" dxfId="42" priority="54" operator="between">
      <formula>0.8</formula>
      <formula>1</formula>
    </cfRule>
  </conditionalFormatting>
  <conditionalFormatting sqref="L25">
    <cfRule type="cellIs" dxfId="41" priority="43" operator="between">
      <formula>0.4</formula>
      <formula>0.599999</formula>
    </cfRule>
    <cfRule type="cellIs" dxfId="40" priority="44" operator="between">
      <formula>0</formula>
      <formula>0.39</formula>
    </cfRule>
    <cfRule type="cellIs" dxfId="39" priority="45" operator="between">
      <formula>0.4</formula>
      <formula>0.59999</formula>
    </cfRule>
    <cfRule type="cellIs" dxfId="38" priority="46" operator="between">
      <formula>0.6</formula>
      <formula>0.6999</formula>
    </cfRule>
    <cfRule type="cellIs" dxfId="37" priority="47" operator="between">
      <formula>0.7</formula>
      <formula>0.79</formula>
    </cfRule>
    <cfRule type="cellIs" dxfId="36" priority="48" operator="between">
      <formula>0.8</formula>
      <formula>1</formula>
    </cfRule>
  </conditionalFormatting>
  <conditionalFormatting sqref="L27">
    <cfRule type="cellIs" dxfId="35" priority="37" operator="between">
      <formula>0.4</formula>
      <formula>0.599999</formula>
    </cfRule>
    <cfRule type="cellIs" dxfId="34" priority="38" operator="between">
      <formula>0</formula>
      <formula>0.39</formula>
    </cfRule>
    <cfRule type="cellIs" dxfId="33" priority="39" operator="between">
      <formula>0.4</formula>
      <formula>0.59999</formula>
    </cfRule>
    <cfRule type="cellIs" dxfId="32" priority="40" operator="between">
      <formula>0.6</formula>
      <formula>0.6999</formula>
    </cfRule>
    <cfRule type="cellIs" dxfId="31" priority="41" operator="between">
      <formula>0.7</formula>
      <formula>0.79</formula>
    </cfRule>
    <cfRule type="cellIs" dxfId="30" priority="42" operator="between">
      <formula>0.8</formula>
      <formula>1</formula>
    </cfRule>
  </conditionalFormatting>
  <conditionalFormatting sqref="L32">
    <cfRule type="cellIs" dxfId="29" priority="31" operator="between">
      <formula>0.4</formula>
      <formula>0.599999</formula>
    </cfRule>
    <cfRule type="cellIs" dxfId="28" priority="32" operator="between">
      <formula>0</formula>
      <formula>0.39</formula>
    </cfRule>
    <cfRule type="cellIs" dxfId="27" priority="33" operator="between">
      <formula>0.4</formula>
      <formula>0.59999</formula>
    </cfRule>
    <cfRule type="cellIs" dxfId="26" priority="34" operator="between">
      <formula>0.6</formula>
      <formula>0.6999</formula>
    </cfRule>
    <cfRule type="cellIs" dxfId="25" priority="35" operator="between">
      <formula>0.7</formula>
      <formula>0.79</formula>
    </cfRule>
    <cfRule type="cellIs" dxfId="24" priority="36" operator="between">
      <formula>0.8</formula>
      <formula>1</formula>
    </cfRule>
  </conditionalFormatting>
  <conditionalFormatting sqref="L30">
    <cfRule type="cellIs" dxfId="23" priority="25" operator="between">
      <formula>0.4</formula>
      <formula>0.599999</formula>
    </cfRule>
    <cfRule type="cellIs" dxfId="22" priority="26" operator="between">
      <formula>0</formula>
      <formula>0.39</formula>
    </cfRule>
    <cfRule type="cellIs" dxfId="21" priority="27" operator="between">
      <formula>0.4</formula>
      <formula>0.59999</formula>
    </cfRule>
    <cfRule type="cellIs" dxfId="20" priority="28" operator="between">
      <formula>0.6</formula>
      <formula>0.6999</formula>
    </cfRule>
    <cfRule type="cellIs" dxfId="19" priority="29" operator="between">
      <formula>0.7</formula>
      <formula>0.79</formula>
    </cfRule>
    <cfRule type="cellIs" dxfId="18" priority="30" operator="between">
      <formula>0.8</formula>
      <formula>1</formula>
    </cfRule>
  </conditionalFormatting>
  <conditionalFormatting sqref="L24">
    <cfRule type="cellIs" dxfId="17" priority="19" operator="between">
      <formula>0.4</formula>
      <formula>0.599999</formula>
    </cfRule>
    <cfRule type="cellIs" dxfId="16" priority="20" operator="between">
      <formula>0</formula>
      <formula>0.39</formula>
    </cfRule>
    <cfRule type="cellIs" dxfId="15" priority="21" operator="between">
      <formula>0.4</formula>
      <formula>0.59999</formula>
    </cfRule>
    <cfRule type="cellIs" dxfId="14" priority="22" operator="between">
      <formula>0.6</formula>
      <formula>0.6999</formula>
    </cfRule>
    <cfRule type="cellIs" dxfId="13" priority="23" operator="between">
      <formula>0.7</formula>
      <formula>0.79</formula>
    </cfRule>
    <cfRule type="cellIs" dxfId="12" priority="24" operator="between">
      <formula>0.8</formula>
      <formula>1</formula>
    </cfRule>
  </conditionalFormatting>
  <conditionalFormatting sqref="L29">
    <cfRule type="cellIs" dxfId="11" priority="13" operator="between">
      <formula>0.4</formula>
      <formula>0.599999</formula>
    </cfRule>
    <cfRule type="cellIs" dxfId="10" priority="14" operator="between">
      <formula>0</formula>
      <formula>0.39</formula>
    </cfRule>
    <cfRule type="cellIs" dxfId="9" priority="15" operator="between">
      <formula>0.4</formula>
      <formula>0.59999</formula>
    </cfRule>
    <cfRule type="cellIs" dxfId="8" priority="16" operator="between">
      <formula>0.6</formula>
      <formula>0.6999</formula>
    </cfRule>
    <cfRule type="cellIs" dxfId="7" priority="17" operator="between">
      <formula>0.7</formula>
      <formula>0.79</formula>
    </cfRule>
    <cfRule type="cellIs" dxfId="6" priority="18" operator="between">
      <formula>0.8</formula>
      <formula>1</formula>
    </cfRule>
  </conditionalFormatting>
  <conditionalFormatting sqref="L36">
    <cfRule type="cellIs" dxfId="5" priority="1" operator="between">
      <formula>0.4</formula>
      <formula>0.599999</formula>
    </cfRule>
    <cfRule type="cellIs" dxfId="4" priority="2" operator="between">
      <formula>0</formula>
      <formula>0.39</formula>
    </cfRule>
    <cfRule type="cellIs" dxfId="3" priority="3" operator="between">
      <formula>0.4</formula>
      <formula>0.59999</formula>
    </cfRule>
    <cfRule type="cellIs" dxfId="2" priority="4" operator="between">
      <formula>0.6</formula>
      <formula>0.6999</formula>
    </cfRule>
    <cfRule type="cellIs" dxfId="1" priority="5" operator="between">
      <formula>0.7</formula>
      <formula>0.79</formula>
    </cfRule>
    <cfRule type="cellIs" dxfId="0" priority="6" operator="between">
      <formula>0.8</formula>
      <formula>1</formula>
    </cfRule>
  </conditionalFormatting>
  <pageMargins left="0.70866141732283472" right="0.70866141732283472" top="0.74803149606299213" bottom="0.74803149606299213" header="0.31496062992125984" footer="0.31496062992125984"/>
  <pageSetup paperSize="258" scale="60" fitToHeight="0" orientation="landscape" r:id="rId1"/>
  <drawing r:id="rId2"/>
</worksheet>
</file>

<file path=xl/worksheets/sheet3.xml><?xml version="1.0" encoding="utf-8"?>
<worksheet xmlns="http://schemas.openxmlformats.org/spreadsheetml/2006/main" xmlns:r="http://schemas.openxmlformats.org/officeDocument/2006/relationships">
  <dimension ref="A1:CK49"/>
  <sheetViews>
    <sheetView tabSelected="1" zoomScale="70" zoomScaleNormal="70" workbookViewId="0">
      <pane ySplit="1" topLeftCell="A23" activePane="bottomLeft" state="frozen"/>
      <selection activeCell="Z1" sqref="Z1"/>
      <selection pane="bottomLeft" activeCell="L25" sqref="L25:L26"/>
    </sheetView>
  </sheetViews>
  <sheetFormatPr baseColWidth="10" defaultColWidth="11.42578125" defaultRowHeight="14.25"/>
  <cols>
    <col min="1" max="1" width="12.85546875" style="816" customWidth="1"/>
    <col min="2" max="2" width="4" style="778" customWidth="1"/>
    <col min="3" max="3" width="18.140625" style="778" customWidth="1"/>
    <col min="4" max="4" width="12.42578125" style="778" customWidth="1"/>
    <col min="5" max="5" width="6.42578125" style="778" customWidth="1"/>
    <col min="6" max="6" width="12.85546875" style="778" customWidth="1"/>
    <col min="7" max="7" width="11.85546875" style="778" customWidth="1"/>
    <col min="8" max="8" width="4.5703125" style="778" customWidth="1"/>
    <col min="9" max="9" width="15.140625" style="778" customWidth="1"/>
    <col min="10" max="10" width="13.42578125" style="778" bestFit="1" customWidth="1"/>
    <col min="11" max="11" width="25.5703125" style="821" customWidth="1"/>
    <col min="12" max="12" width="18.5703125" style="777" customWidth="1"/>
    <col min="13" max="13" width="11" style="777" customWidth="1"/>
    <col min="14" max="14" width="11.42578125" style="777" customWidth="1"/>
    <col min="15" max="15" width="27.5703125" style="777" customWidth="1"/>
    <col min="16" max="16" width="22" style="822" customWidth="1"/>
    <col min="17" max="17" width="22.42578125" style="821" customWidth="1"/>
    <col min="18" max="18" width="23.42578125" style="823" customWidth="1"/>
    <col min="19" max="19" width="23.85546875" style="824" customWidth="1"/>
    <col min="20" max="20" width="29" style="821" customWidth="1"/>
    <col min="21" max="21" width="25.5703125" style="821" customWidth="1"/>
    <col min="22" max="22" width="36.42578125" style="821" customWidth="1"/>
    <col min="23" max="23" width="24.140625" style="815" customWidth="1"/>
    <col min="24" max="24" width="24.5703125" style="815" customWidth="1"/>
    <col min="25" max="25" width="23.42578125" style="815" customWidth="1"/>
    <col min="26" max="26" width="17.42578125" style="817" customWidth="1"/>
    <col min="27" max="27" width="26.42578125" style="818" customWidth="1"/>
    <col min="28" max="28" width="9.42578125" style="778" bestFit="1" customWidth="1"/>
    <col min="29" max="29" width="8.5703125" style="778" bestFit="1" customWidth="1"/>
    <col min="30" max="30" width="9.42578125" style="778" bestFit="1" customWidth="1"/>
    <col min="31" max="31" width="8.5703125" style="778" bestFit="1" customWidth="1"/>
    <col min="32" max="32" width="7.5703125" style="778" bestFit="1" customWidth="1"/>
    <col min="33" max="33" width="6.5703125" style="778" bestFit="1" customWidth="1"/>
    <col min="34" max="34" width="7.5703125" style="778" bestFit="1" customWidth="1"/>
    <col min="35" max="35" width="6.85546875" style="778" customWidth="1"/>
    <col min="36" max="37" width="8.42578125" style="778" bestFit="1" customWidth="1"/>
    <col min="38" max="38" width="7.5703125" style="778" bestFit="1" customWidth="1"/>
    <col min="39" max="39" width="7" style="778" bestFit="1" customWidth="1"/>
    <col min="40" max="41" width="5.5703125" style="778" bestFit="1" customWidth="1"/>
    <col min="42" max="42" width="7.5703125" style="778" bestFit="1" customWidth="1"/>
    <col min="43" max="43" width="7" style="778" bestFit="1" customWidth="1"/>
    <col min="44" max="51" width="4.5703125" style="778" bestFit="1" customWidth="1"/>
    <col min="52" max="52" width="6.42578125" style="778" bestFit="1" customWidth="1"/>
    <col min="53" max="55" width="4.5703125" style="778" bestFit="1" customWidth="1"/>
    <col min="56" max="56" width="8.5703125" style="778" bestFit="1" customWidth="1"/>
    <col min="57" max="57" width="7.42578125" style="778" customWidth="1"/>
    <col min="58" max="58" width="10.42578125" style="778" customWidth="1"/>
    <col min="59" max="59" width="13" style="955" customWidth="1"/>
    <col min="60" max="60" width="23" style="955" customWidth="1"/>
    <col min="61" max="61" width="28" style="955" customWidth="1"/>
    <col min="62" max="62" width="25" style="955" customWidth="1"/>
    <col min="63" max="63" width="23" style="961" customWidth="1"/>
    <col min="64" max="64" width="19" style="955" customWidth="1"/>
    <col min="65" max="65" width="30.5703125" style="819" customWidth="1"/>
    <col min="66" max="66" width="19.85546875" style="819" customWidth="1"/>
    <col min="67" max="68" width="20.140625" style="820" customWidth="1"/>
    <col min="69" max="69" width="23.5703125" style="960" customWidth="1"/>
    <col min="70" max="70" width="23.5703125" style="778" bestFit="1" customWidth="1"/>
    <col min="71" max="282" width="11.42578125" style="778"/>
    <col min="283" max="283" width="13.140625" style="778" customWidth="1"/>
    <col min="284" max="284" width="4" style="778" customWidth="1"/>
    <col min="285" max="285" width="12.85546875" style="778" customWidth="1"/>
    <col min="286" max="286" width="14.5703125" style="778" customWidth="1"/>
    <col min="287" max="287" width="10" style="778" customWidth="1"/>
    <col min="288" max="288" width="6.42578125" style="778" customWidth="1"/>
    <col min="289" max="289" width="12.42578125" style="778" customWidth="1"/>
    <col min="290" max="290" width="8.5703125" style="778" customWidth="1"/>
    <col min="291" max="291" width="13.5703125" style="778" customWidth="1"/>
    <col min="292" max="292" width="11.5703125" style="778" customWidth="1"/>
    <col min="293" max="293" width="34.42578125" style="778" customWidth="1"/>
    <col min="294" max="294" width="24.42578125" style="778" customWidth="1"/>
    <col min="295" max="295" width="21.140625" style="778" customWidth="1"/>
    <col min="296" max="296" width="22.140625" style="778" customWidth="1"/>
    <col min="297" max="297" width="8" style="778" customWidth="1"/>
    <col min="298" max="298" width="17" style="778" customWidth="1"/>
    <col min="299" max="299" width="12.5703125" style="778" customWidth="1"/>
    <col min="300" max="300" width="24.5703125" style="778" customWidth="1"/>
    <col min="301" max="301" width="29" style="778" customWidth="1"/>
    <col min="302" max="302" width="17.5703125" style="778" customWidth="1"/>
    <col min="303" max="303" width="36.42578125" style="778" customWidth="1"/>
    <col min="304" max="304" width="21.85546875" style="778" customWidth="1"/>
    <col min="305" max="305" width="11.5703125" style="778" customWidth="1"/>
    <col min="306" max="306" width="26.42578125" style="778" customWidth="1"/>
    <col min="307" max="307" width="9" style="778" customWidth="1"/>
    <col min="308" max="308" width="6.42578125" style="778" customWidth="1"/>
    <col min="309" max="310" width="7.42578125" style="778" customWidth="1"/>
    <col min="311" max="311" width="8.42578125" style="778" customWidth="1"/>
    <col min="312" max="312" width="9.5703125" style="778" customWidth="1"/>
    <col min="313" max="313" width="6.42578125" style="778" customWidth="1"/>
    <col min="314" max="314" width="5.85546875" style="778" customWidth="1"/>
    <col min="315" max="316" width="4.42578125" style="778" customWidth="1"/>
    <col min="317" max="317" width="5" style="778" customWidth="1"/>
    <col min="318" max="318" width="5.85546875" style="778" customWidth="1"/>
    <col min="319" max="319" width="6.140625" style="778" customWidth="1"/>
    <col min="320" max="320" width="6.42578125" style="778" customWidth="1"/>
    <col min="321" max="321" width="11.140625" style="778" customWidth="1"/>
    <col min="322" max="322" width="14.140625" style="778" customWidth="1"/>
    <col min="323" max="323" width="19.85546875" style="778" customWidth="1"/>
    <col min="324" max="324" width="17" style="778" customWidth="1"/>
    <col min="325" max="325" width="20.85546875" style="778" customWidth="1"/>
    <col min="326" max="538" width="11.42578125" style="778"/>
    <col min="539" max="539" width="13.140625" style="778" customWidth="1"/>
    <col min="540" max="540" width="4" style="778" customWidth="1"/>
    <col min="541" max="541" width="12.85546875" style="778" customWidth="1"/>
    <col min="542" max="542" width="14.5703125" style="778" customWidth="1"/>
    <col min="543" max="543" width="10" style="778" customWidth="1"/>
    <col min="544" max="544" width="6.42578125" style="778" customWidth="1"/>
    <col min="545" max="545" width="12.42578125" style="778" customWidth="1"/>
    <col min="546" max="546" width="8.5703125" style="778" customWidth="1"/>
    <col min="547" max="547" width="13.5703125" style="778" customWidth="1"/>
    <col min="548" max="548" width="11.5703125" style="778" customWidth="1"/>
    <col min="549" max="549" width="34.42578125" style="778" customWidth="1"/>
    <col min="550" max="550" width="24.42578125" style="778" customWidth="1"/>
    <col min="551" max="551" width="21.140625" style="778" customWidth="1"/>
    <col min="552" max="552" width="22.140625" style="778" customWidth="1"/>
    <col min="553" max="553" width="8" style="778" customWidth="1"/>
    <col min="554" max="554" width="17" style="778" customWidth="1"/>
    <col min="555" max="555" width="12.5703125" style="778" customWidth="1"/>
    <col min="556" max="556" width="24.5703125" style="778" customWidth="1"/>
    <col min="557" max="557" width="29" style="778" customWidth="1"/>
    <col min="558" max="558" width="17.5703125" style="778" customWidth="1"/>
    <col min="559" max="559" width="36.42578125" style="778" customWidth="1"/>
    <col min="560" max="560" width="21.85546875" style="778" customWidth="1"/>
    <col min="561" max="561" width="11.5703125" style="778" customWidth="1"/>
    <col min="562" max="562" width="26.42578125" style="778" customWidth="1"/>
    <col min="563" max="563" width="9" style="778" customWidth="1"/>
    <col min="564" max="564" width="6.42578125" style="778" customWidth="1"/>
    <col min="565" max="566" width="7.42578125" style="778" customWidth="1"/>
    <col min="567" max="567" width="8.42578125" style="778" customWidth="1"/>
    <col min="568" max="568" width="9.5703125" style="778" customWidth="1"/>
    <col min="569" max="569" width="6.42578125" style="778" customWidth="1"/>
    <col min="570" max="570" width="5.85546875" style="778" customWidth="1"/>
    <col min="571" max="572" width="4.42578125" style="778" customWidth="1"/>
    <col min="573" max="573" width="5" style="778" customWidth="1"/>
    <col min="574" max="574" width="5.85546875" style="778" customWidth="1"/>
    <col min="575" max="575" width="6.140625" style="778" customWidth="1"/>
    <col min="576" max="576" width="6.42578125" style="778" customWidth="1"/>
    <col min="577" max="577" width="11.140625" style="778" customWidth="1"/>
    <col min="578" max="578" width="14.140625" style="778" customWidth="1"/>
    <col min="579" max="579" width="19.85546875" style="778" customWidth="1"/>
    <col min="580" max="580" width="17" style="778" customWidth="1"/>
    <col min="581" max="581" width="20.85546875" style="778" customWidth="1"/>
    <col min="582" max="794" width="11.42578125" style="778"/>
    <col min="795" max="795" width="13.140625" style="778" customWidth="1"/>
    <col min="796" max="796" width="4" style="778" customWidth="1"/>
    <col min="797" max="797" width="12.85546875" style="778" customWidth="1"/>
    <col min="798" max="798" width="14.5703125" style="778" customWidth="1"/>
    <col min="799" max="799" width="10" style="778" customWidth="1"/>
    <col min="800" max="800" width="6.42578125" style="778" customWidth="1"/>
    <col min="801" max="801" width="12.42578125" style="778" customWidth="1"/>
    <col min="802" max="802" width="8.5703125" style="778" customWidth="1"/>
    <col min="803" max="803" width="13.5703125" style="778" customWidth="1"/>
    <col min="804" max="804" width="11.5703125" style="778" customWidth="1"/>
    <col min="805" max="805" width="34.42578125" style="778" customWidth="1"/>
    <col min="806" max="806" width="24.42578125" style="778" customWidth="1"/>
    <col min="807" max="807" width="21.140625" style="778" customWidth="1"/>
    <col min="808" max="808" width="22.140625" style="778" customWidth="1"/>
    <col min="809" max="809" width="8" style="778" customWidth="1"/>
    <col min="810" max="810" width="17" style="778" customWidth="1"/>
    <col min="811" max="811" width="12.5703125" style="778" customWidth="1"/>
    <col min="812" max="812" width="24.5703125" style="778" customWidth="1"/>
    <col min="813" max="813" width="29" style="778" customWidth="1"/>
    <col min="814" max="814" width="17.5703125" style="778" customWidth="1"/>
    <col min="815" max="815" width="36.42578125" style="778" customWidth="1"/>
    <col min="816" max="816" width="21.85546875" style="778" customWidth="1"/>
    <col min="817" max="817" width="11.5703125" style="778" customWidth="1"/>
    <col min="818" max="818" width="26.42578125" style="778" customWidth="1"/>
    <col min="819" max="819" width="9" style="778" customWidth="1"/>
    <col min="820" max="820" width="6.42578125" style="778" customWidth="1"/>
    <col min="821" max="822" width="7.42578125" style="778" customWidth="1"/>
    <col min="823" max="823" width="8.42578125" style="778" customWidth="1"/>
    <col min="824" max="824" width="9.5703125" style="778" customWidth="1"/>
    <col min="825" max="825" width="6.42578125" style="778" customWidth="1"/>
    <col min="826" max="826" width="5.85546875" style="778" customWidth="1"/>
    <col min="827" max="828" width="4.42578125" style="778" customWidth="1"/>
    <col min="829" max="829" width="5" style="778" customWidth="1"/>
    <col min="830" max="830" width="5.85546875" style="778" customWidth="1"/>
    <col min="831" max="831" width="6.140625" style="778" customWidth="1"/>
    <col min="832" max="832" width="6.42578125" style="778" customWidth="1"/>
    <col min="833" max="833" width="11.140625" style="778" customWidth="1"/>
    <col min="834" max="834" width="14.140625" style="778" customWidth="1"/>
    <col min="835" max="835" width="19.85546875" style="778" customWidth="1"/>
    <col min="836" max="836" width="17" style="778" customWidth="1"/>
    <col min="837" max="837" width="20.85546875" style="778" customWidth="1"/>
    <col min="838" max="1050" width="11.42578125" style="778"/>
    <col min="1051" max="1051" width="13.140625" style="778" customWidth="1"/>
    <col min="1052" max="1052" width="4" style="778" customWidth="1"/>
    <col min="1053" max="1053" width="12.85546875" style="778" customWidth="1"/>
    <col min="1054" max="1054" width="14.5703125" style="778" customWidth="1"/>
    <col min="1055" max="1055" width="10" style="778" customWidth="1"/>
    <col min="1056" max="1056" width="6.42578125" style="778" customWidth="1"/>
    <col min="1057" max="1057" width="12.42578125" style="778" customWidth="1"/>
    <col min="1058" max="1058" width="8.5703125" style="778" customWidth="1"/>
    <col min="1059" max="1059" width="13.5703125" style="778" customWidth="1"/>
    <col min="1060" max="1060" width="11.5703125" style="778" customWidth="1"/>
    <col min="1061" max="1061" width="34.42578125" style="778" customWidth="1"/>
    <col min="1062" max="1062" width="24.42578125" style="778" customWidth="1"/>
    <col min="1063" max="1063" width="21.140625" style="778" customWidth="1"/>
    <col min="1064" max="1064" width="22.140625" style="778" customWidth="1"/>
    <col min="1065" max="1065" width="8" style="778" customWidth="1"/>
    <col min="1066" max="1066" width="17" style="778" customWidth="1"/>
    <col min="1067" max="1067" width="12.5703125" style="778" customWidth="1"/>
    <col min="1068" max="1068" width="24.5703125" style="778" customWidth="1"/>
    <col min="1069" max="1069" width="29" style="778" customWidth="1"/>
    <col min="1070" max="1070" width="17.5703125" style="778" customWidth="1"/>
    <col min="1071" max="1071" width="36.42578125" style="778" customWidth="1"/>
    <col min="1072" max="1072" width="21.85546875" style="778" customWidth="1"/>
    <col min="1073" max="1073" width="11.5703125" style="778" customWidth="1"/>
    <col min="1074" max="1074" width="26.42578125" style="778" customWidth="1"/>
    <col min="1075" max="1075" width="9" style="778" customWidth="1"/>
    <col min="1076" max="1076" width="6.42578125" style="778" customWidth="1"/>
    <col min="1077" max="1078" width="7.42578125" style="778" customWidth="1"/>
    <col min="1079" max="1079" width="8.42578125" style="778" customWidth="1"/>
    <col min="1080" max="1080" width="9.5703125" style="778" customWidth="1"/>
    <col min="1081" max="1081" width="6.42578125" style="778" customWidth="1"/>
    <col min="1082" max="1082" width="5.85546875" style="778" customWidth="1"/>
    <col min="1083" max="1084" width="4.42578125" style="778" customWidth="1"/>
    <col min="1085" max="1085" width="5" style="778" customWidth="1"/>
    <col min="1086" max="1086" width="5.85546875" style="778" customWidth="1"/>
    <col min="1087" max="1087" width="6.140625" style="778" customWidth="1"/>
    <col min="1088" max="1088" width="6.42578125" style="778" customWidth="1"/>
    <col min="1089" max="1089" width="11.140625" style="778" customWidth="1"/>
    <col min="1090" max="1090" width="14.140625" style="778" customWidth="1"/>
    <col min="1091" max="1091" width="19.85546875" style="778" customWidth="1"/>
    <col min="1092" max="1092" width="17" style="778" customWidth="1"/>
    <col min="1093" max="1093" width="20.85546875" style="778" customWidth="1"/>
    <col min="1094" max="1306" width="11.42578125" style="778"/>
    <col min="1307" max="1307" width="13.140625" style="778" customWidth="1"/>
    <col min="1308" max="1308" width="4" style="778" customWidth="1"/>
    <col min="1309" max="1309" width="12.85546875" style="778" customWidth="1"/>
    <col min="1310" max="1310" width="14.5703125" style="778" customWidth="1"/>
    <col min="1311" max="1311" width="10" style="778" customWidth="1"/>
    <col min="1312" max="1312" width="6.42578125" style="778" customWidth="1"/>
    <col min="1313" max="1313" width="12.42578125" style="778" customWidth="1"/>
    <col min="1314" max="1314" width="8.5703125" style="778" customWidth="1"/>
    <col min="1315" max="1315" width="13.5703125" style="778" customWidth="1"/>
    <col min="1316" max="1316" width="11.5703125" style="778" customWidth="1"/>
    <col min="1317" max="1317" width="34.42578125" style="778" customWidth="1"/>
    <col min="1318" max="1318" width="24.42578125" style="778" customWidth="1"/>
    <col min="1319" max="1319" width="21.140625" style="778" customWidth="1"/>
    <col min="1320" max="1320" width="22.140625" style="778" customWidth="1"/>
    <col min="1321" max="1321" width="8" style="778" customWidth="1"/>
    <col min="1322" max="1322" width="17" style="778" customWidth="1"/>
    <col min="1323" max="1323" width="12.5703125" style="778" customWidth="1"/>
    <col min="1324" max="1324" width="24.5703125" style="778" customWidth="1"/>
    <col min="1325" max="1325" width="29" style="778" customWidth="1"/>
    <col min="1326" max="1326" width="17.5703125" style="778" customWidth="1"/>
    <col min="1327" max="1327" width="36.42578125" style="778" customWidth="1"/>
    <col min="1328" max="1328" width="21.85546875" style="778" customWidth="1"/>
    <col min="1329" max="1329" width="11.5703125" style="778" customWidth="1"/>
    <col min="1330" max="1330" width="26.42578125" style="778" customWidth="1"/>
    <col min="1331" max="1331" width="9" style="778" customWidth="1"/>
    <col min="1332" max="1332" width="6.42578125" style="778" customWidth="1"/>
    <col min="1333" max="1334" width="7.42578125" style="778" customWidth="1"/>
    <col min="1335" max="1335" width="8.42578125" style="778" customWidth="1"/>
    <col min="1336" max="1336" width="9.5703125" style="778" customWidth="1"/>
    <col min="1337" max="1337" width="6.42578125" style="778" customWidth="1"/>
    <col min="1338" max="1338" width="5.85546875" style="778" customWidth="1"/>
    <col min="1339" max="1340" width="4.42578125" style="778" customWidth="1"/>
    <col min="1341" max="1341" width="5" style="778" customWidth="1"/>
    <col min="1342" max="1342" width="5.85546875" style="778" customWidth="1"/>
    <col min="1343" max="1343" width="6.140625" style="778" customWidth="1"/>
    <col min="1344" max="1344" width="6.42578125" style="778" customWidth="1"/>
    <col min="1345" max="1345" width="11.140625" style="778" customWidth="1"/>
    <col min="1346" max="1346" width="14.140625" style="778" customWidth="1"/>
    <col min="1347" max="1347" width="19.85546875" style="778" customWidth="1"/>
    <col min="1348" max="1348" width="17" style="778" customWidth="1"/>
    <col min="1349" max="1349" width="20.85546875" style="778" customWidth="1"/>
    <col min="1350" max="1562" width="11.42578125" style="778"/>
    <col min="1563" max="1563" width="13.140625" style="778" customWidth="1"/>
    <col min="1564" max="1564" width="4" style="778" customWidth="1"/>
    <col min="1565" max="1565" width="12.85546875" style="778" customWidth="1"/>
    <col min="1566" max="1566" width="14.5703125" style="778" customWidth="1"/>
    <col min="1567" max="1567" width="10" style="778" customWidth="1"/>
    <col min="1568" max="1568" width="6.42578125" style="778" customWidth="1"/>
    <col min="1569" max="1569" width="12.42578125" style="778" customWidth="1"/>
    <col min="1570" max="1570" width="8.5703125" style="778" customWidth="1"/>
    <col min="1571" max="1571" width="13.5703125" style="778" customWidth="1"/>
    <col min="1572" max="1572" width="11.5703125" style="778" customWidth="1"/>
    <col min="1573" max="1573" width="34.42578125" style="778" customWidth="1"/>
    <col min="1574" max="1574" width="24.42578125" style="778" customWidth="1"/>
    <col min="1575" max="1575" width="21.140625" style="778" customWidth="1"/>
    <col min="1576" max="1576" width="22.140625" style="778" customWidth="1"/>
    <col min="1577" max="1577" width="8" style="778" customWidth="1"/>
    <col min="1578" max="1578" width="17" style="778" customWidth="1"/>
    <col min="1579" max="1579" width="12.5703125" style="778" customWidth="1"/>
    <col min="1580" max="1580" width="24.5703125" style="778" customWidth="1"/>
    <col min="1581" max="1581" width="29" style="778" customWidth="1"/>
    <col min="1582" max="1582" width="17.5703125" style="778" customWidth="1"/>
    <col min="1583" max="1583" width="36.42578125" style="778" customWidth="1"/>
    <col min="1584" max="1584" width="21.85546875" style="778" customWidth="1"/>
    <col min="1585" max="1585" width="11.5703125" style="778" customWidth="1"/>
    <col min="1586" max="1586" width="26.42578125" style="778" customWidth="1"/>
    <col min="1587" max="1587" width="9" style="778" customWidth="1"/>
    <col min="1588" max="1588" width="6.42578125" style="778" customWidth="1"/>
    <col min="1589" max="1590" width="7.42578125" style="778" customWidth="1"/>
    <col min="1591" max="1591" width="8.42578125" style="778" customWidth="1"/>
    <col min="1592" max="1592" width="9.5703125" style="778" customWidth="1"/>
    <col min="1593" max="1593" width="6.42578125" style="778" customWidth="1"/>
    <col min="1594" max="1594" width="5.85546875" style="778" customWidth="1"/>
    <col min="1595" max="1596" width="4.42578125" style="778" customWidth="1"/>
    <col min="1597" max="1597" width="5" style="778" customWidth="1"/>
    <col min="1598" max="1598" width="5.85546875" style="778" customWidth="1"/>
    <col min="1599" max="1599" width="6.140625" style="778" customWidth="1"/>
    <col min="1600" max="1600" width="6.42578125" style="778" customWidth="1"/>
    <col min="1601" max="1601" width="11.140625" style="778" customWidth="1"/>
    <col min="1602" max="1602" width="14.140625" style="778" customWidth="1"/>
    <col min="1603" max="1603" width="19.85546875" style="778" customWidth="1"/>
    <col min="1604" max="1604" width="17" style="778" customWidth="1"/>
    <col min="1605" max="1605" width="20.85546875" style="778" customWidth="1"/>
    <col min="1606" max="1818" width="11.42578125" style="778"/>
    <col min="1819" max="1819" width="13.140625" style="778" customWidth="1"/>
    <col min="1820" max="1820" width="4" style="778" customWidth="1"/>
    <col min="1821" max="1821" width="12.85546875" style="778" customWidth="1"/>
    <col min="1822" max="1822" width="14.5703125" style="778" customWidth="1"/>
    <col min="1823" max="1823" width="10" style="778" customWidth="1"/>
    <col min="1824" max="1824" width="6.42578125" style="778" customWidth="1"/>
    <col min="1825" max="1825" width="12.42578125" style="778" customWidth="1"/>
    <col min="1826" max="1826" width="8.5703125" style="778" customWidth="1"/>
    <col min="1827" max="1827" width="13.5703125" style="778" customWidth="1"/>
    <col min="1828" max="1828" width="11.5703125" style="778" customWidth="1"/>
    <col min="1829" max="1829" width="34.42578125" style="778" customWidth="1"/>
    <col min="1830" max="1830" width="24.42578125" style="778" customWidth="1"/>
    <col min="1831" max="1831" width="21.140625" style="778" customWidth="1"/>
    <col min="1832" max="1832" width="22.140625" style="778" customWidth="1"/>
    <col min="1833" max="1833" width="8" style="778" customWidth="1"/>
    <col min="1834" max="1834" width="17" style="778" customWidth="1"/>
    <col min="1835" max="1835" width="12.5703125" style="778" customWidth="1"/>
    <col min="1836" max="1836" width="24.5703125" style="778" customWidth="1"/>
    <col min="1837" max="1837" width="29" style="778" customWidth="1"/>
    <col min="1838" max="1838" width="17.5703125" style="778" customWidth="1"/>
    <col min="1839" max="1839" width="36.42578125" style="778" customWidth="1"/>
    <col min="1840" max="1840" width="21.85546875" style="778" customWidth="1"/>
    <col min="1841" max="1841" width="11.5703125" style="778" customWidth="1"/>
    <col min="1842" max="1842" width="26.42578125" style="778" customWidth="1"/>
    <col min="1843" max="1843" width="9" style="778" customWidth="1"/>
    <col min="1844" max="1844" width="6.42578125" style="778" customWidth="1"/>
    <col min="1845" max="1846" width="7.42578125" style="778" customWidth="1"/>
    <col min="1847" max="1847" width="8.42578125" style="778" customWidth="1"/>
    <col min="1848" max="1848" width="9.5703125" style="778" customWidth="1"/>
    <col min="1849" max="1849" width="6.42578125" style="778" customWidth="1"/>
    <col min="1850" max="1850" width="5.85546875" style="778" customWidth="1"/>
    <col min="1851" max="1852" width="4.42578125" style="778" customWidth="1"/>
    <col min="1853" max="1853" width="5" style="778" customWidth="1"/>
    <col min="1854" max="1854" width="5.85546875" style="778" customWidth="1"/>
    <col min="1855" max="1855" width="6.140625" style="778" customWidth="1"/>
    <col min="1856" max="1856" width="6.42578125" style="778" customWidth="1"/>
    <col min="1857" max="1857" width="11.140625" style="778" customWidth="1"/>
    <col min="1858" max="1858" width="14.140625" style="778" customWidth="1"/>
    <col min="1859" max="1859" width="19.85546875" style="778" customWidth="1"/>
    <col min="1860" max="1860" width="17" style="778" customWidth="1"/>
    <col min="1861" max="1861" width="20.85546875" style="778" customWidth="1"/>
    <col min="1862" max="2074" width="11.42578125" style="778"/>
    <col min="2075" max="2075" width="13.140625" style="778" customWidth="1"/>
    <col min="2076" max="2076" width="4" style="778" customWidth="1"/>
    <col min="2077" max="2077" width="12.85546875" style="778" customWidth="1"/>
    <col min="2078" max="2078" width="14.5703125" style="778" customWidth="1"/>
    <col min="2079" max="2079" width="10" style="778" customWidth="1"/>
    <col min="2080" max="2080" width="6.42578125" style="778" customWidth="1"/>
    <col min="2081" max="2081" width="12.42578125" style="778" customWidth="1"/>
    <col min="2082" max="2082" width="8.5703125" style="778" customWidth="1"/>
    <col min="2083" max="2083" width="13.5703125" style="778" customWidth="1"/>
    <col min="2084" max="2084" width="11.5703125" style="778" customWidth="1"/>
    <col min="2085" max="2085" width="34.42578125" style="778" customWidth="1"/>
    <col min="2086" max="2086" width="24.42578125" style="778" customWidth="1"/>
    <col min="2087" max="2087" width="21.140625" style="778" customWidth="1"/>
    <col min="2088" max="2088" width="22.140625" style="778" customWidth="1"/>
    <col min="2089" max="2089" width="8" style="778" customWidth="1"/>
    <col min="2090" max="2090" width="17" style="778" customWidth="1"/>
    <col min="2091" max="2091" width="12.5703125" style="778" customWidth="1"/>
    <col min="2092" max="2092" width="24.5703125" style="778" customWidth="1"/>
    <col min="2093" max="2093" width="29" style="778" customWidth="1"/>
    <col min="2094" max="2094" width="17.5703125" style="778" customWidth="1"/>
    <col min="2095" max="2095" width="36.42578125" style="778" customWidth="1"/>
    <col min="2096" max="2096" width="21.85546875" style="778" customWidth="1"/>
    <col min="2097" max="2097" width="11.5703125" style="778" customWidth="1"/>
    <col min="2098" max="2098" width="26.42578125" style="778" customWidth="1"/>
    <col min="2099" max="2099" width="9" style="778" customWidth="1"/>
    <col min="2100" max="2100" width="6.42578125" style="778" customWidth="1"/>
    <col min="2101" max="2102" width="7.42578125" style="778" customWidth="1"/>
    <col min="2103" max="2103" width="8.42578125" style="778" customWidth="1"/>
    <col min="2104" max="2104" width="9.5703125" style="778" customWidth="1"/>
    <col min="2105" max="2105" width="6.42578125" style="778" customWidth="1"/>
    <col min="2106" max="2106" width="5.85546875" style="778" customWidth="1"/>
    <col min="2107" max="2108" width="4.42578125" style="778" customWidth="1"/>
    <col min="2109" max="2109" width="5" style="778" customWidth="1"/>
    <col min="2110" max="2110" width="5.85546875" style="778" customWidth="1"/>
    <col min="2111" max="2111" width="6.140625" style="778" customWidth="1"/>
    <col min="2112" max="2112" width="6.42578125" style="778" customWidth="1"/>
    <col min="2113" max="2113" width="11.140625" style="778" customWidth="1"/>
    <col min="2114" max="2114" width="14.140625" style="778" customWidth="1"/>
    <col min="2115" max="2115" width="19.85546875" style="778" customWidth="1"/>
    <col min="2116" max="2116" width="17" style="778" customWidth="1"/>
    <col min="2117" max="2117" width="20.85546875" style="778" customWidth="1"/>
    <col min="2118" max="2330" width="11.42578125" style="778"/>
    <col min="2331" max="2331" width="13.140625" style="778" customWidth="1"/>
    <col min="2332" max="2332" width="4" style="778" customWidth="1"/>
    <col min="2333" max="2333" width="12.85546875" style="778" customWidth="1"/>
    <col min="2334" max="2334" width="14.5703125" style="778" customWidth="1"/>
    <col min="2335" max="2335" width="10" style="778" customWidth="1"/>
    <col min="2336" max="2336" width="6.42578125" style="778" customWidth="1"/>
    <col min="2337" max="2337" width="12.42578125" style="778" customWidth="1"/>
    <col min="2338" max="2338" width="8.5703125" style="778" customWidth="1"/>
    <col min="2339" max="2339" width="13.5703125" style="778" customWidth="1"/>
    <col min="2340" max="2340" width="11.5703125" style="778" customWidth="1"/>
    <col min="2341" max="2341" width="34.42578125" style="778" customWidth="1"/>
    <col min="2342" max="2342" width="24.42578125" style="778" customWidth="1"/>
    <col min="2343" max="2343" width="21.140625" style="778" customWidth="1"/>
    <col min="2344" max="2344" width="22.140625" style="778" customWidth="1"/>
    <col min="2345" max="2345" width="8" style="778" customWidth="1"/>
    <col min="2346" max="2346" width="17" style="778" customWidth="1"/>
    <col min="2347" max="2347" width="12.5703125" style="778" customWidth="1"/>
    <col min="2348" max="2348" width="24.5703125" style="778" customWidth="1"/>
    <col min="2349" max="2349" width="29" style="778" customWidth="1"/>
    <col min="2350" max="2350" width="17.5703125" style="778" customWidth="1"/>
    <col min="2351" max="2351" width="36.42578125" style="778" customWidth="1"/>
    <col min="2352" max="2352" width="21.85546875" style="778" customWidth="1"/>
    <col min="2353" max="2353" width="11.5703125" style="778" customWidth="1"/>
    <col min="2354" max="2354" width="26.42578125" style="778" customWidth="1"/>
    <col min="2355" max="2355" width="9" style="778" customWidth="1"/>
    <col min="2356" max="2356" width="6.42578125" style="778" customWidth="1"/>
    <col min="2357" max="2358" width="7.42578125" style="778" customWidth="1"/>
    <col min="2359" max="2359" width="8.42578125" style="778" customWidth="1"/>
    <col min="2360" max="2360" width="9.5703125" style="778" customWidth="1"/>
    <col min="2361" max="2361" width="6.42578125" style="778" customWidth="1"/>
    <col min="2362" max="2362" width="5.85546875" style="778" customWidth="1"/>
    <col min="2363" max="2364" width="4.42578125" style="778" customWidth="1"/>
    <col min="2365" max="2365" width="5" style="778" customWidth="1"/>
    <col min="2366" max="2366" width="5.85546875" style="778" customWidth="1"/>
    <col min="2367" max="2367" width="6.140625" style="778" customWidth="1"/>
    <col min="2368" max="2368" width="6.42578125" style="778" customWidth="1"/>
    <col min="2369" max="2369" width="11.140625" style="778" customWidth="1"/>
    <col min="2370" max="2370" width="14.140625" style="778" customWidth="1"/>
    <col min="2371" max="2371" width="19.85546875" style="778" customWidth="1"/>
    <col min="2372" max="2372" width="17" style="778" customWidth="1"/>
    <col min="2373" max="2373" width="20.85546875" style="778" customWidth="1"/>
    <col min="2374" max="2586" width="11.42578125" style="778"/>
    <col min="2587" max="2587" width="13.140625" style="778" customWidth="1"/>
    <col min="2588" max="2588" width="4" style="778" customWidth="1"/>
    <col min="2589" max="2589" width="12.85546875" style="778" customWidth="1"/>
    <col min="2590" max="2590" width="14.5703125" style="778" customWidth="1"/>
    <col min="2591" max="2591" width="10" style="778" customWidth="1"/>
    <col min="2592" max="2592" width="6.42578125" style="778" customWidth="1"/>
    <col min="2593" max="2593" width="12.42578125" style="778" customWidth="1"/>
    <col min="2594" max="2594" width="8.5703125" style="778" customWidth="1"/>
    <col min="2595" max="2595" width="13.5703125" style="778" customWidth="1"/>
    <col min="2596" max="2596" width="11.5703125" style="778" customWidth="1"/>
    <col min="2597" max="2597" width="34.42578125" style="778" customWidth="1"/>
    <col min="2598" max="2598" width="24.42578125" style="778" customWidth="1"/>
    <col min="2599" max="2599" width="21.140625" style="778" customWidth="1"/>
    <col min="2600" max="2600" width="22.140625" style="778" customWidth="1"/>
    <col min="2601" max="2601" width="8" style="778" customWidth="1"/>
    <col min="2602" max="2602" width="17" style="778" customWidth="1"/>
    <col min="2603" max="2603" width="12.5703125" style="778" customWidth="1"/>
    <col min="2604" max="2604" width="24.5703125" style="778" customWidth="1"/>
    <col min="2605" max="2605" width="29" style="778" customWidth="1"/>
    <col min="2606" max="2606" width="17.5703125" style="778" customWidth="1"/>
    <col min="2607" max="2607" width="36.42578125" style="778" customWidth="1"/>
    <col min="2608" max="2608" width="21.85546875" style="778" customWidth="1"/>
    <col min="2609" max="2609" width="11.5703125" style="778" customWidth="1"/>
    <col min="2610" max="2610" width="26.42578125" style="778" customWidth="1"/>
    <col min="2611" max="2611" width="9" style="778" customWidth="1"/>
    <col min="2612" max="2612" width="6.42578125" style="778" customWidth="1"/>
    <col min="2613" max="2614" width="7.42578125" style="778" customWidth="1"/>
    <col min="2615" max="2615" width="8.42578125" style="778" customWidth="1"/>
    <col min="2616" max="2616" width="9.5703125" style="778" customWidth="1"/>
    <col min="2617" max="2617" width="6.42578125" style="778" customWidth="1"/>
    <col min="2618" max="2618" width="5.85546875" style="778" customWidth="1"/>
    <col min="2619" max="2620" width="4.42578125" style="778" customWidth="1"/>
    <col min="2621" max="2621" width="5" style="778" customWidth="1"/>
    <col min="2622" max="2622" width="5.85546875" style="778" customWidth="1"/>
    <col min="2623" max="2623" width="6.140625" style="778" customWidth="1"/>
    <col min="2624" max="2624" width="6.42578125" style="778" customWidth="1"/>
    <col min="2625" max="2625" width="11.140625" style="778" customWidth="1"/>
    <col min="2626" max="2626" width="14.140625" style="778" customWidth="1"/>
    <col min="2627" max="2627" width="19.85546875" style="778" customWidth="1"/>
    <col min="2628" max="2628" width="17" style="778" customWidth="1"/>
    <col min="2629" max="2629" width="20.85546875" style="778" customWidth="1"/>
    <col min="2630" max="2842" width="11.42578125" style="778"/>
    <col min="2843" max="2843" width="13.140625" style="778" customWidth="1"/>
    <col min="2844" max="2844" width="4" style="778" customWidth="1"/>
    <col min="2845" max="2845" width="12.85546875" style="778" customWidth="1"/>
    <col min="2846" max="2846" width="14.5703125" style="778" customWidth="1"/>
    <col min="2847" max="2847" width="10" style="778" customWidth="1"/>
    <col min="2848" max="2848" width="6.42578125" style="778" customWidth="1"/>
    <col min="2849" max="2849" width="12.42578125" style="778" customWidth="1"/>
    <col min="2850" max="2850" width="8.5703125" style="778" customWidth="1"/>
    <col min="2851" max="2851" width="13.5703125" style="778" customWidth="1"/>
    <col min="2852" max="2852" width="11.5703125" style="778" customWidth="1"/>
    <col min="2853" max="2853" width="34.42578125" style="778" customWidth="1"/>
    <col min="2854" max="2854" width="24.42578125" style="778" customWidth="1"/>
    <col min="2855" max="2855" width="21.140625" style="778" customWidth="1"/>
    <col min="2856" max="2856" width="22.140625" style="778" customWidth="1"/>
    <col min="2857" max="2857" width="8" style="778" customWidth="1"/>
    <col min="2858" max="2858" width="17" style="778" customWidth="1"/>
    <col min="2859" max="2859" width="12.5703125" style="778" customWidth="1"/>
    <col min="2860" max="2860" width="24.5703125" style="778" customWidth="1"/>
    <col min="2861" max="2861" width="29" style="778" customWidth="1"/>
    <col min="2862" max="2862" width="17.5703125" style="778" customWidth="1"/>
    <col min="2863" max="2863" width="36.42578125" style="778" customWidth="1"/>
    <col min="2864" max="2864" width="21.85546875" style="778" customWidth="1"/>
    <col min="2865" max="2865" width="11.5703125" style="778" customWidth="1"/>
    <col min="2866" max="2866" width="26.42578125" style="778" customWidth="1"/>
    <col min="2867" max="2867" width="9" style="778" customWidth="1"/>
    <col min="2868" max="2868" width="6.42578125" style="778" customWidth="1"/>
    <col min="2869" max="2870" width="7.42578125" style="778" customWidth="1"/>
    <col min="2871" max="2871" width="8.42578125" style="778" customWidth="1"/>
    <col min="2872" max="2872" width="9.5703125" style="778" customWidth="1"/>
    <col min="2873" max="2873" width="6.42578125" style="778" customWidth="1"/>
    <col min="2874" max="2874" width="5.85546875" style="778" customWidth="1"/>
    <col min="2875" max="2876" width="4.42578125" style="778" customWidth="1"/>
    <col min="2877" max="2877" width="5" style="778" customWidth="1"/>
    <col min="2878" max="2878" width="5.85546875" style="778" customWidth="1"/>
    <col min="2879" max="2879" width="6.140625" style="778" customWidth="1"/>
    <col min="2880" max="2880" width="6.42578125" style="778" customWidth="1"/>
    <col min="2881" max="2881" width="11.140625" style="778" customWidth="1"/>
    <col min="2882" max="2882" width="14.140625" style="778" customWidth="1"/>
    <col min="2883" max="2883" width="19.85546875" style="778" customWidth="1"/>
    <col min="2884" max="2884" width="17" style="778" customWidth="1"/>
    <col min="2885" max="2885" width="20.85546875" style="778" customWidth="1"/>
    <col min="2886" max="3098" width="11.42578125" style="778"/>
    <col min="3099" max="3099" width="13.140625" style="778" customWidth="1"/>
    <col min="3100" max="3100" width="4" style="778" customWidth="1"/>
    <col min="3101" max="3101" width="12.85546875" style="778" customWidth="1"/>
    <col min="3102" max="3102" width="14.5703125" style="778" customWidth="1"/>
    <col min="3103" max="3103" width="10" style="778" customWidth="1"/>
    <col min="3104" max="3104" width="6.42578125" style="778" customWidth="1"/>
    <col min="3105" max="3105" width="12.42578125" style="778" customWidth="1"/>
    <col min="3106" max="3106" width="8.5703125" style="778" customWidth="1"/>
    <col min="3107" max="3107" width="13.5703125" style="778" customWidth="1"/>
    <col min="3108" max="3108" width="11.5703125" style="778" customWidth="1"/>
    <col min="3109" max="3109" width="34.42578125" style="778" customWidth="1"/>
    <col min="3110" max="3110" width="24.42578125" style="778" customWidth="1"/>
    <col min="3111" max="3111" width="21.140625" style="778" customWidth="1"/>
    <col min="3112" max="3112" width="22.140625" style="778" customWidth="1"/>
    <col min="3113" max="3113" width="8" style="778" customWidth="1"/>
    <col min="3114" max="3114" width="17" style="778" customWidth="1"/>
    <col min="3115" max="3115" width="12.5703125" style="778" customWidth="1"/>
    <col min="3116" max="3116" width="24.5703125" style="778" customWidth="1"/>
    <col min="3117" max="3117" width="29" style="778" customWidth="1"/>
    <col min="3118" max="3118" width="17.5703125" style="778" customWidth="1"/>
    <col min="3119" max="3119" width="36.42578125" style="778" customWidth="1"/>
    <col min="3120" max="3120" width="21.85546875" style="778" customWidth="1"/>
    <col min="3121" max="3121" width="11.5703125" style="778" customWidth="1"/>
    <col min="3122" max="3122" width="26.42578125" style="778" customWidth="1"/>
    <col min="3123" max="3123" width="9" style="778" customWidth="1"/>
    <col min="3124" max="3124" width="6.42578125" style="778" customWidth="1"/>
    <col min="3125" max="3126" width="7.42578125" style="778" customWidth="1"/>
    <col min="3127" max="3127" width="8.42578125" style="778" customWidth="1"/>
    <col min="3128" max="3128" width="9.5703125" style="778" customWidth="1"/>
    <col min="3129" max="3129" width="6.42578125" style="778" customWidth="1"/>
    <col min="3130" max="3130" width="5.85546875" style="778" customWidth="1"/>
    <col min="3131" max="3132" width="4.42578125" style="778" customWidth="1"/>
    <col min="3133" max="3133" width="5" style="778" customWidth="1"/>
    <col min="3134" max="3134" width="5.85546875" style="778" customWidth="1"/>
    <col min="3135" max="3135" width="6.140625" style="778" customWidth="1"/>
    <col min="3136" max="3136" width="6.42578125" style="778" customWidth="1"/>
    <col min="3137" max="3137" width="11.140625" style="778" customWidth="1"/>
    <col min="3138" max="3138" width="14.140625" style="778" customWidth="1"/>
    <col min="3139" max="3139" width="19.85546875" style="778" customWidth="1"/>
    <col min="3140" max="3140" width="17" style="778" customWidth="1"/>
    <col min="3141" max="3141" width="20.85546875" style="778" customWidth="1"/>
    <col min="3142" max="3354" width="11.42578125" style="778"/>
    <col min="3355" max="3355" width="13.140625" style="778" customWidth="1"/>
    <col min="3356" max="3356" width="4" style="778" customWidth="1"/>
    <col min="3357" max="3357" width="12.85546875" style="778" customWidth="1"/>
    <col min="3358" max="3358" width="14.5703125" style="778" customWidth="1"/>
    <col min="3359" max="3359" width="10" style="778" customWidth="1"/>
    <col min="3360" max="3360" width="6.42578125" style="778" customWidth="1"/>
    <col min="3361" max="3361" width="12.42578125" style="778" customWidth="1"/>
    <col min="3362" max="3362" width="8.5703125" style="778" customWidth="1"/>
    <col min="3363" max="3363" width="13.5703125" style="778" customWidth="1"/>
    <col min="3364" max="3364" width="11.5703125" style="778" customWidth="1"/>
    <col min="3365" max="3365" width="34.42578125" style="778" customWidth="1"/>
    <col min="3366" max="3366" width="24.42578125" style="778" customWidth="1"/>
    <col min="3367" max="3367" width="21.140625" style="778" customWidth="1"/>
    <col min="3368" max="3368" width="22.140625" style="778" customWidth="1"/>
    <col min="3369" max="3369" width="8" style="778" customWidth="1"/>
    <col min="3370" max="3370" width="17" style="778" customWidth="1"/>
    <col min="3371" max="3371" width="12.5703125" style="778" customWidth="1"/>
    <col min="3372" max="3372" width="24.5703125" style="778" customWidth="1"/>
    <col min="3373" max="3373" width="29" style="778" customWidth="1"/>
    <col min="3374" max="3374" width="17.5703125" style="778" customWidth="1"/>
    <col min="3375" max="3375" width="36.42578125" style="778" customWidth="1"/>
    <col min="3376" max="3376" width="21.85546875" style="778" customWidth="1"/>
    <col min="3377" max="3377" width="11.5703125" style="778" customWidth="1"/>
    <col min="3378" max="3378" width="26.42578125" style="778" customWidth="1"/>
    <col min="3379" max="3379" width="9" style="778" customWidth="1"/>
    <col min="3380" max="3380" width="6.42578125" style="778" customWidth="1"/>
    <col min="3381" max="3382" width="7.42578125" style="778" customWidth="1"/>
    <col min="3383" max="3383" width="8.42578125" style="778" customWidth="1"/>
    <col min="3384" max="3384" width="9.5703125" style="778" customWidth="1"/>
    <col min="3385" max="3385" width="6.42578125" style="778" customWidth="1"/>
    <col min="3386" max="3386" width="5.85546875" style="778" customWidth="1"/>
    <col min="3387" max="3388" width="4.42578125" style="778" customWidth="1"/>
    <col min="3389" max="3389" width="5" style="778" customWidth="1"/>
    <col min="3390" max="3390" width="5.85546875" style="778" customWidth="1"/>
    <col min="3391" max="3391" width="6.140625" style="778" customWidth="1"/>
    <col min="3392" max="3392" width="6.42578125" style="778" customWidth="1"/>
    <col min="3393" max="3393" width="11.140625" style="778" customWidth="1"/>
    <col min="3394" max="3394" width="14.140625" style="778" customWidth="1"/>
    <col min="3395" max="3395" width="19.85546875" style="778" customWidth="1"/>
    <col min="3396" max="3396" width="17" style="778" customWidth="1"/>
    <col min="3397" max="3397" width="20.85546875" style="778" customWidth="1"/>
    <col min="3398" max="3610" width="11.42578125" style="778"/>
    <col min="3611" max="3611" width="13.140625" style="778" customWidth="1"/>
    <col min="3612" max="3612" width="4" style="778" customWidth="1"/>
    <col min="3613" max="3613" width="12.85546875" style="778" customWidth="1"/>
    <col min="3614" max="3614" width="14.5703125" style="778" customWidth="1"/>
    <col min="3615" max="3615" width="10" style="778" customWidth="1"/>
    <col min="3616" max="3616" width="6.42578125" style="778" customWidth="1"/>
    <col min="3617" max="3617" width="12.42578125" style="778" customWidth="1"/>
    <col min="3618" max="3618" width="8.5703125" style="778" customWidth="1"/>
    <col min="3619" max="3619" width="13.5703125" style="778" customWidth="1"/>
    <col min="3620" max="3620" width="11.5703125" style="778" customWidth="1"/>
    <col min="3621" max="3621" width="34.42578125" style="778" customWidth="1"/>
    <col min="3622" max="3622" width="24.42578125" style="778" customWidth="1"/>
    <col min="3623" max="3623" width="21.140625" style="778" customWidth="1"/>
    <col min="3624" max="3624" width="22.140625" style="778" customWidth="1"/>
    <col min="3625" max="3625" width="8" style="778" customWidth="1"/>
    <col min="3626" max="3626" width="17" style="778" customWidth="1"/>
    <col min="3627" max="3627" width="12.5703125" style="778" customWidth="1"/>
    <col min="3628" max="3628" width="24.5703125" style="778" customWidth="1"/>
    <col min="3629" max="3629" width="29" style="778" customWidth="1"/>
    <col min="3630" max="3630" width="17.5703125" style="778" customWidth="1"/>
    <col min="3631" max="3631" width="36.42578125" style="778" customWidth="1"/>
    <col min="3632" max="3632" width="21.85546875" style="778" customWidth="1"/>
    <col min="3633" max="3633" width="11.5703125" style="778" customWidth="1"/>
    <col min="3634" max="3634" width="26.42578125" style="778" customWidth="1"/>
    <col min="3635" max="3635" width="9" style="778" customWidth="1"/>
    <col min="3636" max="3636" width="6.42578125" style="778" customWidth="1"/>
    <col min="3637" max="3638" width="7.42578125" style="778" customWidth="1"/>
    <col min="3639" max="3639" width="8.42578125" style="778" customWidth="1"/>
    <col min="3640" max="3640" width="9.5703125" style="778" customWidth="1"/>
    <col min="3641" max="3641" width="6.42578125" style="778" customWidth="1"/>
    <col min="3642" max="3642" width="5.85546875" style="778" customWidth="1"/>
    <col min="3643" max="3644" width="4.42578125" style="778" customWidth="1"/>
    <col min="3645" max="3645" width="5" style="778" customWidth="1"/>
    <col min="3646" max="3646" width="5.85546875" style="778" customWidth="1"/>
    <col min="3647" max="3647" width="6.140625" style="778" customWidth="1"/>
    <col min="3648" max="3648" width="6.42578125" style="778" customWidth="1"/>
    <col min="3649" max="3649" width="11.140625" style="778" customWidth="1"/>
    <col min="3650" max="3650" width="14.140625" style="778" customWidth="1"/>
    <col min="3651" max="3651" width="19.85546875" style="778" customWidth="1"/>
    <col min="3652" max="3652" width="17" style="778" customWidth="1"/>
    <col min="3653" max="3653" width="20.85546875" style="778" customWidth="1"/>
    <col min="3654" max="3866" width="11.42578125" style="778"/>
    <col min="3867" max="3867" width="13.140625" style="778" customWidth="1"/>
    <col min="3868" max="3868" width="4" style="778" customWidth="1"/>
    <col min="3869" max="3869" width="12.85546875" style="778" customWidth="1"/>
    <col min="3870" max="3870" width="14.5703125" style="778" customWidth="1"/>
    <col min="3871" max="3871" width="10" style="778" customWidth="1"/>
    <col min="3872" max="3872" width="6.42578125" style="778" customWidth="1"/>
    <col min="3873" max="3873" width="12.42578125" style="778" customWidth="1"/>
    <col min="3874" max="3874" width="8.5703125" style="778" customWidth="1"/>
    <col min="3875" max="3875" width="13.5703125" style="778" customWidth="1"/>
    <col min="3876" max="3876" width="11.5703125" style="778" customWidth="1"/>
    <col min="3877" max="3877" width="34.42578125" style="778" customWidth="1"/>
    <col min="3878" max="3878" width="24.42578125" style="778" customWidth="1"/>
    <col min="3879" max="3879" width="21.140625" style="778" customWidth="1"/>
    <col min="3880" max="3880" width="22.140625" style="778" customWidth="1"/>
    <col min="3881" max="3881" width="8" style="778" customWidth="1"/>
    <col min="3882" max="3882" width="17" style="778" customWidth="1"/>
    <col min="3883" max="3883" width="12.5703125" style="778" customWidth="1"/>
    <col min="3884" max="3884" width="24.5703125" style="778" customWidth="1"/>
    <col min="3885" max="3885" width="29" style="778" customWidth="1"/>
    <col min="3886" max="3886" width="17.5703125" style="778" customWidth="1"/>
    <col min="3887" max="3887" width="36.42578125" style="778" customWidth="1"/>
    <col min="3888" max="3888" width="21.85546875" style="778" customWidth="1"/>
    <col min="3889" max="3889" width="11.5703125" style="778" customWidth="1"/>
    <col min="3890" max="3890" width="26.42578125" style="778" customWidth="1"/>
    <col min="3891" max="3891" width="9" style="778" customWidth="1"/>
    <col min="3892" max="3892" width="6.42578125" style="778" customWidth="1"/>
    <col min="3893" max="3894" width="7.42578125" style="778" customWidth="1"/>
    <col min="3895" max="3895" width="8.42578125" style="778" customWidth="1"/>
    <col min="3896" max="3896" width="9.5703125" style="778" customWidth="1"/>
    <col min="3897" max="3897" width="6.42578125" style="778" customWidth="1"/>
    <col min="3898" max="3898" width="5.85546875" style="778" customWidth="1"/>
    <col min="3899" max="3900" width="4.42578125" style="778" customWidth="1"/>
    <col min="3901" max="3901" width="5" style="778" customWidth="1"/>
    <col min="3902" max="3902" width="5.85546875" style="778" customWidth="1"/>
    <col min="3903" max="3903" width="6.140625" style="778" customWidth="1"/>
    <col min="3904" max="3904" width="6.42578125" style="778" customWidth="1"/>
    <col min="3905" max="3905" width="11.140625" style="778" customWidth="1"/>
    <col min="3906" max="3906" width="14.140625" style="778" customWidth="1"/>
    <col min="3907" max="3907" width="19.85546875" style="778" customWidth="1"/>
    <col min="3908" max="3908" width="17" style="778" customWidth="1"/>
    <col min="3909" max="3909" width="20.85546875" style="778" customWidth="1"/>
    <col min="3910" max="4122" width="11.42578125" style="778"/>
    <col min="4123" max="4123" width="13.140625" style="778" customWidth="1"/>
    <col min="4124" max="4124" width="4" style="778" customWidth="1"/>
    <col min="4125" max="4125" width="12.85546875" style="778" customWidth="1"/>
    <col min="4126" max="4126" width="14.5703125" style="778" customWidth="1"/>
    <col min="4127" max="4127" width="10" style="778" customWidth="1"/>
    <col min="4128" max="4128" width="6.42578125" style="778" customWidth="1"/>
    <col min="4129" max="4129" width="12.42578125" style="778" customWidth="1"/>
    <col min="4130" max="4130" width="8.5703125" style="778" customWidth="1"/>
    <col min="4131" max="4131" width="13.5703125" style="778" customWidth="1"/>
    <col min="4132" max="4132" width="11.5703125" style="778" customWidth="1"/>
    <col min="4133" max="4133" width="34.42578125" style="778" customWidth="1"/>
    <col min="4134" max="4134" width="24.42578125" style="778" customWidth="1"/>
    <col min="4135" max="4135" width="21.140625" style="778" customWidth="1"/>
    <col min="4136" max="4136" width="22.140625" style="778" customWidth="1"/>
    <col min="4137" max="4137" width="8" style="778" customWidth="1"/>
    <col min="4138" max="4138" width="17" style="778" customWidth="1"/>
    <col min="4139" max="4139" width="12.5703125" style="778" customWidth="1"/>
    <col min="4140" max="4140" width="24.5703125" style="778" customWidth="1"/>
    <col min="4141" max="4141" width="29" style="778" customWidth="1"/>
    <col min="4142" max="4142" width="17.5703125" style="778" customWidth="1"/>
    <col min="4143" max="4143" width="36.42578125" style="778" customWidth="1"/>
    <col min="4144" max="4144" width="21.85546875" style="778" customWidth="1"/>
    <col min="4145" max="4145" width="11.5703125" style="778" customWidth="1"/>
    <col min="4146" max="4146" width="26.42578125" style="778" customWidth="1"/>
    <col min="4147" max="4147" width="9" style="778" customWidth="1"/>
    <col min="4148" max="4148" width="6.42578125" style="778" customWidth="1"/>
    <col min="4149" max="4150" width="7.42578125" style="778" customWidth="1"/>
    <col min="4151" max="4151" width="8.42578125" style="778" customWidth="1"/>
    <col min="4152" max="4152" width="9.5703125" style="778" customWidth="1"/>
    <col min="4153" max="4153" width="6.42578125" style="778" customWidth="1"/>
    <col min="4154" max="4154" width="5.85546875" style="778" customWidth="1"/>
    <col min="4155" max="4156" width="4.42578125" style="778" customWidth="1"/>
    <col min="4157" max="4157" width="5" style="778" customWidth="1"/>
    <col min="4158" max="4158" width="5.85546875" style="778" customWidth="1"/>
    <col min="4159" max="4159" width="6.140625" style="778" customWidth="1"/>
    <col min="4160" max="4160" width="6.42578125" style="778" customWidth="1"/>
    <col min="4161" max="4161" width="11.140625" style="778" customWidth="1"/>
    <col min="4162" max="4162" width="14.140625" style="778" customWidth="1"/>
    <col min="4163" max="4163" width="19.85546875" style="778" customWidth="1"/>
    <col min="4164" max="4164" width="17" style="778" customWidth="1"/>
    <col min="4165" max="4165" width="20.85546875" style="778" customWidth="1"/>
    <col min="4166" max="4378" width="11.42578125" style="778"/>
    <col min="4379" max="4379" width="13.140625" style="778" customWidth="1"/>
    <col min="4380" max="4380" width="4" style="778" customWidth="1"/>
    <col min="4381" max="4381" width="12.85546875" style="778" customWidth="1"/>
    <col min="4382" max="4382" width="14.5703125" style="778" customWidth="1"/>
    <col min="4383" max="4383" width="10" style="778" customWidth="1"/>
    <col min="4384" max="4384" width="6.42578125" style="778" customWidth="1"/>
    <col min="4385" max="4385" width="12.42578125" style="778" customWidth="1"/>
    <col min="4386" max="4386" width="8.5703125" style="778" customWidth="1"/>
    <col min="4387" max="4387" width="13.5703125" style="778" customWidth="1"/>
    <col min="4388" max="4388" width="11.5703125" style="778" customWidth="1"/>
    <col min="4389" max="4389" width="34.42578125" style="778" customWidth="1"/>
    <col min="4390" max="4390" width="24.42578125" style="778" customWidth="1"/>
    <col min="4391" max="4391" width="21.140625" style="778" customWidth="1"/>
    <col min="4392" max="4392" width="22.140625" style="778" customWidth="1"/>
    <col min="4393" max="4393" width="8" style="778" customWidth="1"/>
    <col min="4394" max="4394" width="17" style="778" customWidth="1"/>
    <col min="4395" max="4395" width="12.5703125" style="778" customWidth="1"/>
    <col min="4396" max="4396" width="24.5703125" style="778" customWidth="1"/>
    <col min="4397" max="4397" width="29" style="778" customWidth="1"/>
    <col min="4398" max="4398" width="17.5703125" style="778" customWidth="1"/>
    <col min="4399" max="4399" width="36.42578125" style="778" customWidth="1"/>
    <col min="4400" max="4400" width="21.85546875" style="778" customWidth="1"/>
    <col min="4401" max="4401" width="11.5703125" style="778" customWidth="1"/>
    <col min="4402" max="4402" width="26.42578125" style="778" customWidth="1"/>
    <col min="4403" max="4403" width="9" style="778" customWidth="1"/>
    <col min="4404" max="4404" width="6.42578125" style="778" customWidth="1"/>
    <col min="4405" max="4406" width="7.42578125" style="778" customWidth="1"/>
    <col min="4407" max="4407" width="8.42578125" style="778" customWidth="1"/>
    <col min="4408" max="4408" width="9.5703125" style="778" customWidth="1"/>
    <col min="4409" max="4409" width="6.42578125" style="778" customWidth="1"/>
    <col min="4410" max="4410" width="5.85546875" style="778" customWidth="1"/>
    <col min="4411" max="4412" width="4.42578125" style="778" customWidth="1"/>
    <col min="4413" max="4413" width="5" style="778" customWidth="1"/>
    <col min="4414" max="4414" width="5.85546875" style="778" customWidth="1"/>
    <col min="4415" max="4415" width="6.140625" style="778" customWidth="1"/>
    <col min="4416" max="4416" width="6.42578125" style="778" customWidth="1"/>
    <col min="4417" max="4417" width="11.140625" style="778" customWidth="1"/>
    <col min="4418" max="4418" width="14.140625" style="778" customWidth="1"/>
    <col min="4419" max="4419" width="19.85546875" style="778" customWidth="1"/>
    <col min="4420" max="4420" width="17" style="778" customWidth="1"/>
    <col min="4421" max="4421" width="20.85546875" style="778" customWidth="1"/>
    <col min="4422" max="4634" width="11.42578125" style="778"/>
    <col min="4635" max="4635" width="13.140625" style="778" customWidth="1"/>
    <col min="4636" max="4636" width="4" style="778" customWidth="1"/>
    <col min="4637" max="4637" width="12.85546875" style="778" customWidth="1"/>
    <col min="4638" max="4638" width="14.5703125" style="778" customWidth="1"/>
    <col min="4639" max="4639" width="10" style="778" customWidth="1"/>
    <col min="4640" max="4640" width="6.42578125" style="778" customWidth="1"/>
    <col min="4641" max="4641" width="12.42578125" style="778" customWidth="1"/>
    <col min="4642" max="4642" width="8.5703125" style="778" customWidth="1"/>
    <col min="4643" max="4643" width="13.5703125" style="778" customWidth="1"/>
    <col min="4644" max="4644" width="11.5703125" style="778" customWidth="1"/>
    <col min="4645" max="4645" width="34.42578125" style="778" customWidth="1"/>
    <col min="4646" max="4646" width="24.42578125" style="778" customWidth="1"/>
    <col min="4647" max="4647" width="21.140625" style="778" customWidth="1"/>
    <col min="4648" max="4648" width="22.140625" style="778" customWidth="1"/>
    <col min="4649" max="4649" width="8" style="778" customWidth="1"/>
    <col min="4650" max="4650" width="17" style="778" customWidth="1"/>
    <col min="4651" max="4651" width="12.5703125" style="778" customWidth="1"/>
    <col min="4652" max="4652" width="24.5703125" style="778" customWidth="1"/>
    <col min="4653" max="4653" width="29" style="778" customWidth="1"/>
    <col min="4654" max="4654" width="17.5703125" style="778" customWidth="1"/>
    <col min="4655" max="4655" width="36.42578125" style="778" customWidth="1"/>
    <col min="4656" max="4656" width="21.85546875" style="778" customWidth="1"/>
    <col min="4657" max="4657" width="11.5703125" style="778" customWidth="1"/>
    <col min="4658" max="4658" width="26.42578125" style="778" customWidth="1"/>
    <col min="4659" max="4659" width="9" style="778" customWidth="1"/>
    <col min="4660" max="4660" width="6.42578125" style="778" customWidth="1"/>
    <col min="4661" max="4662" width="7.42578125" style="778" customWidth="1"/>
    <col min="4663" max="4663" width="8.42578125" style="778" customWidth="1"/>
    <col min="4664" max="4664" width="9.5703125" style="778" customWidth="1"/>
    <col min="4665" max="4665" width="6.42578125" style="778" customWidth="1"/>
    <col min="4666" max="4666" width="5.85546875" style="778" customWidth="1"/>
    <col min="4667" max="4668" width="4.42578125" style="778" customWidth="1"/>
    <col min="4669" max="4669" width="5" style="778" customWidth="1"/>
    <col min="4670" max="4670" width="5.85546875" style="778" customWidth="1"/>
    <col min="4671" max="4671" width="6.140625" style="778" customWidth="1"/>
    <col min="4672" max="4672" width="6.42578125" style="778" customWidth="1"/>
    <col min="4673" max="4673" width="11.140625" style="778" customWidth="1"/>
    <col min="4674" max="4674" width="14.140625" style="778" customWidth="1"/>
    <col min="4675" max="4675" width="19.85546875" style="778" customWidth="1"/>
    <col min="4676" max="4676" width="17" style="778" customWidth="1"/>
    <col min="4677" max="4677" width="20.85546875" style="778" customWidth="1"/>
    <col min="4678" max="4890" width="11.42578125" style="778"/>
    <col min="4891" max="4891" width="13.140625" style="778" customWidth="1"/>
    <col min="4892" max="4892" width="4" style="778" customWidth="1"/>
    <col min="4893" max="4893" width="12.85546875" style="778" customWidth="1"/>
    <col min="4894" max="4894" width="14.5703125" style="778" customWidth="1"/>
    <col min="4895" max="4895" width="10" style="778" customWidth="1"/>
    <col min="4896" max="4896" width="6.42578125" style="778" customWidth="1"/>
    <col min="4897" max="4897" width="12.42578125" style="778" customWidth="1"/>
    <col min="4898" max="4898" width="8.5703125" style="778" customWidth="1"/>
    <col min="4899" max="4899" width="13.5703125" style="778" customWidth="1"/>
    <col min="4900" max="4900" width="11.5703125" style="778" customWidth="1"/>
    <col min="4901" max="4901" width="34.42578125" style="778" customWidth="1"/>
    <col min="4902" max="4902" width="24.42578125" style="778" customWidth="1"/>
    <col min="4903" max="4903" width="21.140625" style="778" customWidth="1"/>
    <col min="4904" max="4904" width="22.140625" style="778" customWidth="1"/>
    <col min="4905" max="4905" width="8" style="778" customWidth="1"/>
    <col min="4906" max="4906" width="17" style="778" customWidth="1"/>
    <col min="4907" max="4907" width="12.5703125" style="778" customWidth="1"/>
    <col min="4908" max="4908" width="24.5703125" style="778" customWidth="1"/>
    <col min="4909" max="4909" width="29" style="778" customWidth="1"/>
    <col min="4910" max="4910" width="17.5703125" style="778" customWidth="1"/>
    <col min="4911" max="4911" width="36.42578125" style="778" customWidth="1"/>
    <col min="4912" max="4912" width="21.85546875" style="778" customWidth="1"/>
    <col min="4913" max="4913" width="11.5703125" style="778" customWidth="1"/>
    <col min="4914" max="4914" width="26.42578125" style="778" customWidth="1"/>
    <col min="4915" max="4915" width="9" style="778" customWidth="1"/>
    <col min="4916" max="4916" width="6.42578125" style="778" customWidth="1"/>
    <col min="4917" max="4918" width="7.42578125" style="778" customWidth="1"/>
    <col min="4919" max="4919" width="8.42578125" style="778" customWidth="1"/>
    <col min="4920" max="4920" width="9.5703125" style="778" customWidth="1"/>
    <col min="4921" max="4921" width="6.42578125" style="778" customWidth="1"/>
    <col min="4922" max="4922" width="5.85546875" style="778" customWidth="1"/>
    <col min="4923" max="4924" width="4.42578125" style="778" customWidth="1"/>
    <col min="4925" max="4925" width="5" style="778" customWidth="1"/>
    <col min="4926" max="4926" width="5.85546875" style="778" customWidth="1"/>
    <col min="4927" max="4927" width="6.140625" style="778" customWidth="1"/>
    <col min="4928" max="4928" width="6.42578125" style="778" customWidth="1"/>
    <col min="4929" max="4929" width="11.140625" style="778" customWidth="1"/>
    <col min="4930" max="4930" width="14.140625" style="778" customWidth="1"/>
    <col min="4931" max="4931" width="19.85546875" style="778" customWidth="1"/>
    <col min="4932" max="4932" width="17" style="778" customWidth="1"/>
    <col min="4933" max="4933" width="20.85546875" style="778" customWidth="1"/>
    <col min="4934" max="5146" width="11.42578125" style="778"/>
    <col min="5147" max="5147" width="13.140625" style="778" customWidth="1"/>
    <col min="5148" max="5148" width="4" style="778" customWidth="1"/>
    <col min="5149" max="5149" width="12.85546875" style="778" customWidth="1"/>
    <col min="5150" max="5150" width="14.5703125" style="778" customWidth="1"/>
    <col min="5151" max="5151" width="10" style="778" customWidth="1"/>
    <col min="5152" max="5152" width="6.42578125" style="778" customWidth="1"/>
    <col min="5153" max="5153" width="12.42578125" style="778" customWidth="1"/>
    <col min="5154" max="5154" width="8.5703125" style="778" customWidth="1"/>
    <col min="5155" max="5155" width="13.5703125" style="778" customWidth="1"/>
    <col min="5156" max="5156" width="11.5703125" style="778" customWidth="1"/>
    <col min="5157" max="5157" width="34.42578125" style="778" customWidth="1"/>
    <col min="5158" max="5158" width="24.42578125" style="778" customWidth="1"/>
    <col min="5159" max="5159" width="21.140625" style="778" customWidth="1"/>
    <col min="5160" max="5160" width="22.140625" style="778" customWidth="1"/>
    <col min="5161" max="5161" width="8" style="778" customWidth="1"/>
    <col min="5162" max="5162" width="17" style="778" customWidth="1"/>
    <col min="5163" max="5163" width="12.5703125" style="778" customWidth="1"/>
    <col min="5164" max="5164" width="24.5703125" style="778" customWidth="1"/>
    <col min="5165" max="5165" width="29" style="778" customWidth="1"/>
    <col min="5166" max="5166" width="17.5703125" style="778" customWidth="1"/>
    <col min="5167" max="5167" width="36.42578125" style="778" customWidth="1"/>
    <col min="5168" max="5168" width="21.85546875" style="778" customWidth="1"/>
    <col min="5169" max="5169" width="11.5703125" style="778" customWidth="1"/>
    <col min="5170" max="5170" width="26.42578125" style="778" customWidth="1"/>
    <col min="5171" max="5171" width="9" style="778" customWidth="1"/>
    <col min="5172" max="5172" width="6.42578125" style="778" customWidth="1"/>
    <col min="5173" max="5174" width="7.42578125" style="778" customWidth="1"/>
    <col min="5175" max="5175" width="8.42578125" style="778" customWidth="1"/>
    <col min="5176" max="5176" width="9.5703125" style="778" customWidth="1"/>
    <col min="5177" max="5177" width="6.42578125" style="778" customWidth="1"/>
    <col min="5178" max="5178" width="5.85546875" style="778" customWidth="1"/>
    <col min="5179" max="5180" width="4.42578125" style="778" customWidth="1"/>
    <col min="5181" max="5181" width="5" style="778" customWidth="1"/>
    <col min="5182" max="5182" width="5.85546875" style="778" customWidth="1"/>
    <col min="5183" max="5183" width="6.140625" style="778" customWidth="1"/>
    <col min="5184" max="5184" width="6.42578125" style="778" customWidth="1"/>
    <col min="5185" max="5185" width="11.140625" style="778" customWidth="1"/>
    <col min="5186" max="5186" width="14.140625" style="778" customWidth="1"/>
    <col min="5187" max="5187" width="19.85546875" style="778" customWidth="1"/>
    <col min="5188" max="5188" width="17" style="778" customWidth="1"/>
    <col min="5189" max="5189" width="20.85546875" style="778" customWidth="1"/>
    <col min="5190" max="5402" width="11.42578125" style="778"/>
    <col min="5403" max="5403" width="13.140625" style="778" customWidth="1"/>
    <col min="5404" max="5404" width="4" style="778" customWidth="1"/>
    <col min="5405" max="5405" width="12.85546875" style="778" customWidth="1"/>
    <col min="5406" max="5406" width="14.5703125" style="778" customWidth="1"/>
    <col min="5407" max="5407" width="10" style="778" customWidth="1"/>
    <col min="5408" max="5408" width="6.42578125" style="778" customWidth="1"/>
    <col min="5409" max="5409" width="12.42578125" style="778" customWidth="1"/>
    <col min="5410" max="5410" width="8.5703125" style="778" customWidth="1"/>
    <col min="5411" max="5411" width="13.5703125" style="778" customWidth="1"/>
    <col min="5412" max="5412" width="11.5703125" style="778" customWidth="1"/>
    <col min="5413" max="5413" width="34.42578125" style="778" customWidth="1"/>
    <col min="5414" max="5414" width="24.42578125" style="778" customWidth="1"/>
    <col min="5415" max="5415" width="21.140625" style="778" customWidth="1"/>
    <col min="5416" max="5416" width="22.140625" style="778" customWidth="1"/>
    <col min="5417" max="5417" width="8" style="778" customWidth="1"/>
    <col min="5418" max="5418" width="17" style="778" customWidth="1"/>
    <col min="5419" max="5419" width="12.5703125" style="778" customWidth="1"/>
    <col min="5420" max="5420" width="24.5703125" style="778" customWidth="1"/>
    <col min="5421" max="5421" width="29" style="778" customWidth="1"/>
    <col min="5422" max="5422" width="17.5703125" style="778" customWidth="1"/>
    <col min="5423" max="5423" width="36.42578125" style="778" customWidth="1"/>
    <col min="5424" max="5424" width="21.85546875" style="778" customWidth="1"/>
    <col min="5425" max="5425" width="11.5703125" style="778" customWidth="1"/>
    <col min="5426" max="5426" width="26.42578125" style="778" customWidth="1"/>
    <col min="5427" max="5427" width="9" style="778" customWidth="1"/>
    <col min="5428" max="5428" width="6.42578125" style="778" customWidth="1"/>
    <col min="5429" max="5430" width="7.42578125" style="778" customWidth="1"/>
    <col min="5431" max="5431" width="8.42578125" style="778" customWidth="1"/>
    <col min="5432" max="5432" width="9.5703125" style="778" customWidth="1"/>
    <col min="5433" max="5433" width="6.42578125" style="778" customWidth="1"/>
    <col min="5434" max="5434" width="5.85546875" style="778" customWidth="1"/>
    <col min="5435" max="5436" width="4.42578125" style="778" customWidth="1"/>
    <col min="5437" max="5437" width="5" style="778" customWidth="1"/>
    <col min="5438" max="5438" width="5.85546875" style="778" customWidth="1"/>
    <col min="5439" max="5439" width="6.140625" style="778" customWidth="1"/>
    <col min="5440" max="5440" width="6.42578125" style="778" customWidth="1"/>
    <col min="5441" max="5441" width="11.140625" style="778" customWidth="1"/>
    <col min="5442" max="5442" width="14.140625" style="778" customWidth="1"/>
    <col min="5443" max="5443" width="19.85546875" style="778" customWidth="1"/>
    <col min="5444" max="5444" width="17" style="778" customWidth="1"/>
    <col min="5445" max="5445" width="20.85546875" style="778" customWidth="1"/>
    <col min="5446" max="5658" width="11.42578125" style="778"/>
    <col min="5659" max="5659" width="13.140625" style="778" customWidth="1"/>
    <col min="5660" max="5660" width="4" style="778" customWidth="1"/>
    <col min="5661" max="5661" width="12.85546875" style="778" customWidth="1"/>
    <col min="5662" max="5662" width="14.5703125" style="778" customWidth="1"/>
    <col min="5663" max="5663" width="10" style="778" customWidth="1"/>
    <col min="5664" max="5664" width="6.42578125" style="778" customWidth="1"/>
    <col min="5665" max="5665" width="12.42578125" style="778" customWidth="1"/>
    <col min="5666" max="5666" width="8.5703125" style="778" customWidth="1"/>
    <col min="5667" max="5667" width="13.5703125" style="778" customWidth="1"/>
    <col min="5668" max="5668" width="11.5703125" style="778" customWidth="1"/>
    <col min="5669" max="5669" width="34.42578125" style="778" customWidth="1"/>
    <col min="5670" max="5670" width="24.42578125" style="778" customWidth="1"/>
    <col min="5671" max="5671" width="21.140625" style="778" customWidth="1"/>
    <col min="5672" max="5672" width="22.140625" style="778" customWidth="1"/>
    <col min="5673" max="5673" width="8" style="778" customWidth="1"/>
    <col min="5674" max="5674" width="17" style="778" customWidth="1"/>
    <col min="5675" max="5675" width="12.5703125" style="778" customWidth="1"/>
    <col min="5676" max="5676" width="24.5703125" style="778" customWidth="1"/>
    <col min="5677" max="5677" width="29" style="778" customWidth="1"/>
    <col min="5678" max="5678" width="17.5703125" style="778" customWidth="1"/>
    <col min="5679" max="5679" width="36.42578125" style="778" customWidth="1"/>
    <col min="5680" max="5680" width="21.85546875" style="778" customWidth="1"/>
    <col min="5681" max="5681" width="11.5703125" style="778" customWidth="1"/>
    <col min="5682" max="5682" width="26.42578125" style="778" customWidth="1"/>
    <col min="5683" max="5683" width="9" style="778" customWidth="1"/>
    <col min="5684" max="5684" width="6.42578125" style="778" customWidth="1"/>
    <col min="5685" max="5686" width="7.42578125" style="778" customWidth="1"/>
    <col min="5687" max="5687" width="8.42578125" style="778" customWidth="1"/>
    <col min="5688" max="5688" width="9.5703125" style="778" customWidth="1"/>
    <col min="5689" max="5689" width="6.42578125" style="778" customWidth="1"/>
    <col min="5690" max="5690" width="5.85546875" style="778" customWidth="1"/>
    <col min="5691" max="5692" width="4.42578125" style="778" customWidth="1"/>
    <col min="5693" max="5693" width="5" style="778" customWidth="1"/>
    <col min="5694" max="5694" width="5.85546875" style="778" customWidth="1"/>
    <col min="5695" max="5695" width="6.140625" style="778" customWidth="1"/>
    <col min="5696" max="5696" width="6.42578125" style="778" customWidth="1"/>
    <col min="5697" max="5697" width="11.140625" style="778" customWidth="1"/>
    <col min="5698" max="5698" width="14.140625" style="778" customWidth="1"/>
    <col min="5699" max="5699" width="19.85546875" style="778" customWidth="1"/>
    <col min="5700" max="5700" width="17" style="778" customWidth="1"/>
    <col min="5701" max="5701" width="20.85546875" style="778" customWidth="1"/>
    <col min="5702" max="5914" width="11.42578125" style="778"/>
    <col min="5915" max="5915" width="13.140625" style="778" customWidth="1"/>
    <col min="5916" max="5916" width="4" style="778" customWidth="1"/>
    <col min="5917" max="5917" width="12.85546875" style="778" customWidth="1"/>
    <col min="5918" max="5918" width="14.5703125" style="778" customWidth="1"/>
    <col min="5919" max="5919" width="10" style="778" customWidth="1"/>
    <col min="5920" max="5920" width="6.42578125" style="778" customWidth="1"/>
    <col min="5921" max="5921" width="12.42578125" style="778" customWidth="1"/>
    <col min="5922" max="5922" width="8.5703125" style="778" customWidth="1"/>
    <col min="5923" max="5923" width="13.5703125" style="778" customWidth="1"/>
    <col min="5924" max="5924" width="11.5703125" style="778" customWidth="1"/>
    <col min="5925" max="5925" width="34.42578125" style="778" customWidth="1"/>
    <col min="5926" max="5926" width="24.42578125" style="778" customWidth="1"/>
    <col min="5927" max="5927" width="21.140625" style="778" customWidth="1"/>
    <col min="5928" max="5928" width="22.140625" style="778" customWidth="1"/>
    <col min="5929" max="5929" width="8" style="778" customWidth="1"/>
    <col min="5930" max="5930" width="17" style="778" customWidth="1"/>
    <col min="5931" max="5931" width="12.5703125" style="778" customWidth="1"/>
    <col min="5932" max="5932" width="24.5703125" style="778" customWidth="1"/>
    <col min="5933" max="5933" width="29" style="778" customWidth="1"/>
    <col min="5934" max="5934" width="17.5703125" style="778" customWidth="1"/>
    <col min="5935" max="5935" width="36.42578125" style="778" customWidth="1"/>
    <col min="5936" max="5936" width="21.85546875" style="778" customWidth="1"/>
    <col min="5937" max="5937" width="11.5703125" style="778" customWidth="1"/>
    <col min="5938" max="5938" width="26.42578125" style="778" customWidth="1"/>
    <col min="5939" max="5939" width="9" style="778" customWidth="1"/>
    <col min="5940" max="5940" width="6.42578125" style="778" customWidth="1"/>
    <col min="5941" max="5942" width="7.42578125" style="778" customWidth="1"/>
    <col min="5943" max="5943" width="8.42578125" style="778" customWidth="1"/>
    <col min="5944" max="5944" width="9.5703125" style="778" customWidth="1"/>
    <col min="5945" max="5945" width="6.42578125" style="778" customWidth="1"/>
    <col min="5946" max="5946" width="5.85546875" style="778" customWidth="1"/>
    <col min="5947" max="5948" width="4.42578125" style="778" customWidth="1"/>
    <col min="5949" max="5949" width="5" style="778" customWidth="1"/>
    <col min="5950" max="5950" width="5.85546875" style="778" customWidth="1"/>
    <col min="5951" max="5951" width="6.140625" style="778" customWidth="1"/>
    <col min="5952" max="5952" width="6.42578125" style="778" customWidth="1"/>
    <col min="5953" max="5953" width="11.140625" style="778" customWidth="1"/>
    <col min="5954" max="5954" width="14.140625" style="778" customWidth="1"/>
    <col min="5955" max="5955" width="19.85546875" style="778" customWidth="1"/>
    <col min="5956" max="5956" width="17" style="778" customWidth="1"/>
    <col min="5957" max="5957" width="20.85546875" style="778" customWidth="1"/>
    <col min="5958" max="6170" width="11.42578125" style="778"/>
    <col min="6171" max="6171" width="13.140625" style="778" customWidth="1"/>
    <col min="6172" max="6172" width="4" style="778" customWidth="1"/>
    <col min="6173" max="6173" width="12.85546875" style="778" customWidth="1"/>
    <col min="6174" max="6174" width="14.5703125" style="778" customWidth="1"/>
    <col min="6175" max="6175" width="10" style="778" customWidth="1"/>
    <col min="6176" max="6176" width="6.42578125" style="778" customWidth="1"/>
    <col min="6177" max="6177" width="12.42578125" style="778" customWidth="1"/>
    <col min="6178" max="6178" width="8.5703125" style="778" customWidth="1"/>
    <col min="6179" max="6179" width="13.5703125" style="778" customWidth="1"/>
    <col min="6180" max="6180" width="11.5703125" style="778" customWidth="1"/>
    <col min="6181" max="6181" width="34.42578125" style="778" customWidth="1"/>
    <col min="6182" max="6182" width="24.42578125" style="778" customWidth="1"/>
    <col min="6183" max="6183" width="21.140625" style="778" customWidth="1"/>
    <col min="6184" max="6184" width="22.140625" style="778" customWidth="1"/>
    <col min="6185" max="6185" width="8" style="778" customWidth="1"/>
    <col min="6186" max="6186" width="17" style="778" customWidth="1"/>
    <col min="6187" max="6187" width="12.5703125" style="778" customWidth="1"/>
    <col min="6188" max="6188" width="24.5703125" style="778" customWidth="1"/>
    <col min="6189" max="6189" width="29" style="778" customWidth="1"/>
    <col min="6190" max="6190" width="17.5703125" style="778" customWidth="1"/>
    <col min="6191" max="6191" width="36.42578125" style="778" customWidth="1"/>
    <col min="6192" max="6192" width="21.85546875" style="778" customWidth="1"/>
    <col min="6193" max="6193" width="11.5703125" style="778" customWidth="1"/>
    <col min="6194" max="6194" width="26.42578125" style="778" customWidth="1"/>
    <col min="6195" max="6195" width="9" style="778" customWidth="1"/>
    <col min="6196" max="6196" width="6.42578125" style="778" customWidth="1"/>
    <col min="6197" max="6198" width="7.42578125" style="778" customWidth="1"/>
    <col min="6199" max="6199" width="8.42578125" style="778" customWidth="1"/>
    <col min="6200" max="6200" width="9.5703125" style="778" customWidth="1"/>
    <col min="6201" max="6201" width="6.42578125" style="778" customWidth="1"/>
    <col min="6202" max="6202" width="5.85546875" style="778" customWidth="1"/>
    <col min="6203" max="6204" width="4.42578125" style="778" customWidth="1"/>
    <col min="6205" max="6205" width="5" style="778" customWidth="1"/>
    <col min="6206" max="6206" width="5.85546875" style="778" customWidth="1"/>
    <col min="6207" max="6207" width="6.140625" style="778" customWidth="1"/>
    <col min="6208" max="6208" width="6.42578125" style="778" customWidth="1"/>
    <col min="6209" max="6209" width="11.140625" style="778" customWidth="1"/>
    <col min="6210" max="6210" width="14.140625" style="778" customWidth="1"/>
    <col min="6211" max="6211" width="19.85546875" style="778" customWidth="1"/>
    <col min="6212" max="6212" width="17" style="778" customWidth="1"/>
    <col min="6213" max="6213" width="20.85546875" style="778" customWidth="1"/>
    <col min="6214" max="6426" width="11.42578125" style="778"/>
    <col min="6427" max="6427" width="13.140625" style="778" customWidth="1"/>
    <col min="6428" max="6428" width="4" style="778" customWidth="1"/>
    <col min="6429" max="6429" width="12.85546875" style="778" customWidth="1"/>
    <col min="6430" max="6430" width="14.5703125" style="778" customWidth="1"/>
    <col min="6431" max="6431" width="10" style="778" customWidth="1"/>
    <col min="6432" max="6432" width="6.42578125" style="778" customWidth="1"/>
    <col min="6433" max="6433" width="12.42578125" style="778" customWidth="1"/>
    <col min="6434" max="6434" width="8.5703125" style="778" customWidth="1"/>
    <col min="6435" max="6435" width="13.5703125" style="778" customWidth="1"/>
    <col min="6436" max="6436" width="11.5703125" style="778" customWidth="1"/>
    <col min="6437" max="6437" width="34.42578125" style="778" customWidth="1"/>
    <col min="6438" max="6438" width="24.42578125" style="778" customWidth="1"/>
    <col min="6439" max="6439" width="21.140625" style="778" customWidth="1"/>
    <col min="6440" max="6440" width="22.140625" style="778" customWidth="1"/>
    <col min="6441" max="6441" width="8" style="778" customWidth="1"/>
    <col min="6442" max="6442" width="17" style="778" customWidth="1"/>
    <col min="6443" max="6443" width="12.5703125" style="778" customWidth="1"/>
    <col min="6444" max="6444" width="24.5703125" style="778" customWidth="1"/>
    <col min="6445" max="6445" width="29" style="778" customWidth="1"/>
    <col min="6446" max="6446" width="17.5703125" style="778" customWidth="1"/>
    <col min="6447" max="6447" width="36.42578125" style="778" customWidth="1"/>
    <col min="6448" max="6448" width="21.85546875" style="778" customWidth="1"/>
    <col min="6449" max="6449" width="11.5703125" style="778" customWidth="1"/>
    <col min="6450" max="6450" width="26.42578125" style="778" customWidth="1"/>
    <col min="6451" max="6451" width="9" style="778" customWidth="1"/>
    <col min="6452" max="6452" width="6.42578125" style="778" customWidth="1"/>
    <col min="6453" max="6454" width="7.42578125" style="778" customWidth="1"/>
    <col min="6455" max="6455" width="8.42578125" style="778" customWidth="1"/>
    <col min="6456" max="6456" width="9.5703125" style="778" customWidth="1"/>
    <col min="6457" max="6457" width="6.42578125" style="778" customWidth="1"/>
    <col min="6458" max="6458" width="5.85546875" style="778" customWidth="1"/>
    <col min="6459" max="6460" width="4.42578125" style="778" customWidth="1"/>
    <col min="6461" max="6461" width="5" style="778" customWidth="1"/>
    <col min="6462" max="6462" width="5.85546875" style="778" customWidth="1"/>
    <col min="6463" max="6463" width="6.140625" style="778" customWidth="1"/>
    <col min="6464" max="6464" width="6.42578125" style="778" customWidth="1"/>
    <col min="6465" max="6465" width="11.140625" style="778" customWidth="1"/>
    <col min="6466" max="6466" width="14.140625" style="778" customWidth="1"/>
    <col min="6467" max="6467" width="19.85546875" style="778" customWidth="1"/>
    <col min="6468" max="6468" width="17" style="778" customWidth="1"/>
    <col min="6469" max="6469" width="20.85546875" style="778" customWidth="1"/>
    <col min="6470" max="6682" width="11.42578125" style="778"/>
    <col min="6683" max="6683" width="13.140625" style="778" customWidth="1"/>
    <col min="6684" max="6684" width="4" style="778" customWidth="1"/>
    <col min="6685" max="6685" width="12.85546875" style="778" customWidth="1"/>
    <col min="6686" max="6686" width="14.5703125" style="778" customWidth="1"/>
    <col min="6687" max="6687" width="10" style="778" customWidth="1"/>
    <col min="6688" max="6688" width="6.42578125" style="778" customWidth="1"/>
    <col min="6689" max="6689" width="12.42578125" style="778" customWidth="1"/>
    <col min="6690" max="6690" width="8.5703125" style="778" customWidth="1"/>
    <col min="6691" max="6691" width="13.5703125" style="778" customWidth="1"/>
    <col min="6692" max="6692" width="11.5703125" style="778" customWidth="1"/>
    <col min="6693" max="6693" width="34.42578125" style="778" customWidth="1"/>
    <col min="6694" max="6694" width="24.42578125" style="778" customWidth="1"/>
    <col min="6695" max="6695" width="21.140625" style="778" customWidth="1"/>
    <col min="6696" max="6696" width="22.140625" style="778" customWidth="1"/>
    <col min="6697" max="6697" width="8" style="778" customWidth="1"/>
    <col min="6698" max="6698" width="17" style="778" customWidth="1"/>
    <col min="6699" max="6699" width="12.5703125" style="778" customWidth="1"/>
    <col min="6700" max="6700" width="24.5703125" style="778" customWidth="1"/>
    <col min="6701" max="6701" width="29" style="778" customWidth="1"/>
    <col min="6702" max="6702" width="17.5703125" style="778" customWidth="1"/>
    <col min="6703" max="6703" width="36.42578125" style="778" customWidth="1"/>
    <col min="6704" max="6704" width="21.85546875" style="778" customWidth="1"/>
    <col min="6705" max="6705" width="11.5703125" style="778" customWidth="1"/>
    <col min="6706" max="6706" width="26.42578125" style="778" customWidth="1"/>
    <col min="6707" max="6707" width="9" style="778" customWidth="1"/>
    <col min="6708" max="6708" width="6.42578125" style="778" customWidth="1"/>
    <col min="6709" max="6710" width="7.42578125" style="778" customWidth="1"/>
    <col min="6711" max="6711" width="8.42578125" style="778" customWidth="1"/>
    <col min="6712" max="6712" width="9.5703125" style="778" customWidth="1"/>
    <col min="6713" max="6713" width="6.42578125" style="778" customWidth="1"/>
    <col min="6714" max="6714" width="5.85546875" style="778" customWidth="1"/>
    <col min="6715" max="6716" width="4.42578125" style="778" customWidth="1"/>
    <col min="6717" max="6717" width="5" style="778" customWidth="1"/>
    <col min="6718" max="6718" width="5.85546875" style="778" customWidth="1"/>
    <col min="6719" max="6719" width="6.140625" style="778" customWidth="1"/>
    <col min="6720" max="6720" width="6.42578125" style="778" customWidth="1"/>
    <col min="6721" max="6721" width="11.140625" style="778" customWidth="1"/>
    <col min="6722" max="6722" width="14.140625" style="778" customWidth="1"/>
    <col min="6723" max="6723" width="19.85546875" style="778" customWidth="1"/>
    <col min="6724" max="6724" width="17" style="778" customWidth="1"/>
    <col min="6725" max="6725" width="20.85546875" style="778" customWidth="1"/>
    <col min="6726" max="6938" width="11.42578125" style="778"/>
    <col min="6939" max="6939" width="13.140625" style="778" customWidth="1"/>
    <col min="6940" max="6940" width="4" style="778" customWidth="1"/>
    <col min="6941" max="6941" width="12.85546875" style="778" customWidth="1"/>
    <col min="6942" max="6942" width="14.5703125" style="778" customWidth="1"/>
    <col min="6943" max="6943" width="10" style="778" customWidth="1"/>
    <col min="6944" max="6944" width="6.42578125" style="778" customWidth="1"/>
    <col min="6945" max="6945" width="12.42578125" style="778" customWidth="1"/>
    <col min="6946" max="6946" width="8.5703125" style="778" customWidth="1"/>
    <col min="6947" max="6947" width="13.5703125" style="778" customWidth="1"/>
    <col min="6948" max="6948" width="11.5703125" style="778" customWidth="1"/>
    <col min="6949" max="6949" width="34.42578125" style="778" customWidth="1"/>
    <col min="6950" max="6950" width="24.42578125" style="778" customWidth="1"/>
    <col min="6951" max="6951" width="21.140625" style="778" customWidth="1"/>
    <col min="6952" max="6952" width="22.140625" style="778" customWidth="1"/>
    <col min="6953" max="6953" width="8" style="778" customWidth="1"/>
    <col min="6954" max="6954" width="17" style="778" customWidth="1"/>
    <col min="6955" max="6955" width="12.5703125" style="778" customWidth="1"/>
    <col min="6956" max="6956" width="24.5703125" style="778" customWidth="1"/>
    <col min="6957" max="6957" width="29" style="778" customWidth="1"/>
    <col min="6958" max="6958" width="17.5703125" style="778" customWidth="1"/>
    <col min="6959" max="6959" width="36.42578125" style="778" customWidth="1"/>
    <col min="6960" max="6960" width="21.85546875" style="778" customWidth="1"/>
    <col min="6961" max="6961" width="11.5703125" style="778" customWidth="1"/>
    <col min="6962" max="6962" width="26.42578125" style="778" customWidth="1"/>
    <col min="6963" max="6963" width="9" style="778" customWidth="1"/>
    <col min="6964" max="6964" width="6.42578125" style="778" customWidth="1"/>
    <col min="6965" max="6966" width="7.42578125" style="778" customWidth="1"/>
    <col min="6967" max="6967" width="8.42578125" style="778" customWidth="1"/>
    <col min="6968" max="6968" width="9.5703125" style="778" customWidth="1"/>
    <col min="6969" max="6969" width="6.42578125" style="778" customWidth="1"/>
    <col min="6970" max="6970" width="5.85546875" style="778" customWidth="1"/>
    <col min="6971" max="6972" width="4.42578125" style="778" customWidth="1"/>
    <col min="6973" max="6973" width="5" style="778" customWidth="1"/>
    <col min="6974" max="6974" width="5.85546875" style="778" customWidth="1"/>
    <col min="6975" max="6975" width="6.140625" style="778" customWidth="1"/>
    <col min="6976" max="6976" width="6.42578125" style="778" customWidth="1"/>
    <col min="6977" max="6977" width="11.140625" style="778" customWidth="1"/>
    <col min="6978" max="6978" width="14.140625" style="778" customWidth="1"/>
    <col min="6979" max="6979" width="19.85546875" style="778" customWidth="1"/>
    <col min="6980" max="6980" width="17" style="778" customWidth="1"/>
    <col min="6981" max="6981" width="20.85546875" style="778" customWidth="1"/>
    <col min="6982" max="7194" width="11.42578125" style="778"/>
    <col min="7195" max="7195" width="13.140625" style="778" customWidth="1"/>
    <col min="7196" max="7196" width="4" style="778" customWidth="1"/>
    <col min="7197" max="7197" width="12.85546875" style="778" customWidth="1"/>
    <col min="7198" max="7198" width="14.5703125" style="778" customWidth="1"/>
    <col min="7199" max="7199" width="10" style="778" customWidth="1"/>
    <col min="7200" max="7200" width="6.42578125" style="778" customWidth="1"/>
    <col min="7201" max="7201" width="12.42578125" style="778" customWidth="1"/>
    <col min="7202" max="7202" width="8.5703125" style="778" customWidth="1"/>
    <col min="7203" max="7203" width="13.5703125" style="778" customWidth="1"/>
    <col min="7204" max="7204" width="11.5703125" style="778" customWidth="1"/>
    <col min="7205" max="7205" width="34.42578125" style="778" customWidth="1"/>
    <col min="7206" max="7206" width="24.42578125" style="778" customWidth="1"/>
    <col min="7207" max="7207" width="21.140625" style="778" customWidth="1"/>
    <col min="7208" max="7208" width="22.140625" style="778" customWidth="1"/>
    <col min="7209" max="7209" width="8" style="778" customWidth="1"/>
    <col min="7210" max="7210" width="17" style="778" customWidth="1"/>
    <col min="7211" max="7211" width="12.5703125" style="778" customWidth="1"/>
    <col min="7212" max="7212" width="24.5703125" style="778" customWidth="1"/>
    <col min="7213" max="7213" width="29" style="778" customWidth="1"/>
    <col min="7214" max="7214" width="17.5703125" style="778" customWidth="1"/>
    <col min="7215" max="7215" width="36.42578125" style="778" customWidth="1"/>
    <col min="7216" max="7216" width="21.85546875" style="778" customWidth="1"/>
    <col min="7217" max="7217" width="11.5703125" style="778" customWidth="1"/>
    <col min="7218" max="7218" width="26.42578125" style="778" customWidth="1"/>
    <col min="7219" max="7219" width="9" style="778" customWidth="1"/>
    <col min="7220" max="7220" width="6.42578125" style="778" customWidth="1"/>
    <col min="7221" max="7222" width="7.42578125" style="778" customWidth="1"/>
    <col min="7223" max="7223" width="8.42578125" style="778" customWidth="1"/>
    <col min="7224" max="7224" width="9.5703125" style="778" customWidth="1"/>
    <col min="7225" max="7225" width="6.42578125" style="778" customWidth="1"/>
    <col min="7226" max="7226" width="5.85546875" style="778" customWidth="1"/>
    <col min="7227" max="7228" width="4.42578125" style="778" customWidth="1"/>
    <col min="7229" max="7229" width="5" style="778" customWidth="1"/>
    <col min="7230" max="7230" width="5.85546875" style="778" customWidth="1"/>
    <col min="7231" max="7231" width="6.140625" style="778" customWidth="1"/>
    <col min="7232" max="7232" width="6.42578125" style="778" customWidth="1"/>
    <col min="7233" max="7233" width="11.140625" style="778" customWidth="1"/>
    <col min="7234" max="7234" width="14.140625" style="778" customWidth="1"/>
    <col min="7235" max="7235" width="19.85546875" style="778" customWidth="1"/>
    <col min="7236" max="7236" width="17" style="778" customWidth="1"/>
    <col min="7237" max="7237" width="20.85546875" style="778" customWidth="1"/>
    <col min="7238" max="7450" width="11.42578125" style="778"/>
    <col min="7451" max="7451" width="13.140625" style="778" customWidth="1"/>
    <col min="7452" max="7452" width="4" style="778" customWidth="1"/>
    <col min="7453" max="7453" width="12.85546875" style="778" customWidth="1"/>
    <col min="7454" max="7454" width="14.5703125" style="778" customWidth="1"/>
    <col min="7455" max="7455" width="10" style="778" customWidth="1"/>
    <col min="7456" max="7456" width="6.42578125" style="778" customWidth="1"/>
    <col min="7457" max="7457" width="12.42578125" style="778" customWidth="1"/>
    <col min="7458" max="7458" width="8.5703125" style="778" customWidth="1"/>
    <col min="7459" max="7459" width="13.5703125" style="778" customWidth="1"/>
    <col min="7460" max="7460" width="11.5703125" style="778" customWidth="1"/>
    <col min="7461" max="7461" width="34.42578125" style="778" customWidth="1"/>
    <col min="7462" max="7462" width="24.42578125" style="778" customWidth="1"/>
    <col min="7463" max="7463" width="21.140625" style="778" customWidth="1"/>
    <col min="7464" max="7464" width="22.140625" style="778" customWidth="1"/>
    <col min="7465" max="7465" width="8" style="778" customWidth="1"/>
    <col min="7466" max="7466" width="17" style="778" customWidth="1"/>
    <col min="7467" max="7467" width="12.5703125" style="778" customWidth="1"/>
    <col min="7468" max="7468" width="24.5703125" style="778" customWidth="1"/>
    <col min="7469" max="7469" width="29" style="778" customWidth="1"/>
    <col min="7470" max="7470" width="17.5703125" style="778" customWidth="1"/>
    <col min="7471" max="7471" width="36.42578125" style="778" customWidth="1"/>
    <col min="7472" max="7472" width="21.85546875" style="778" customWidth="1"/>
    <col min="7473" max="7473" width="11.5703125" style="778" customWidth="1"/>
    <col min="7474" max="7474" width="26.42578125" style="778" customWidth="1"/>
    <col min="7475" max="7475" width="9" style="778" customWidth="1"/>
    <col min="7476" max="7476" width="6.42578125" style="778" customWidth="1"/>
    <col min="7477" max="7478" width="7.42578125" style="778" customWidth="1"/>
    <col min="7479" max="7479" width="8.42578125" style="778" customWidth="1"/>
    <col min="7480" max="7480" width="9.5703125" style="778" customWidth="1"/>
    <col min="7481" max="7481" width="6.42578125" style="778" customWidth="1"/>
    <col min="7482" max="7482" width="5.85546875" style="778" customWidth="1"/>
    <col min="7483" max="7484" width="4.42578125" style="778" customWidth="1"/>
    <col min="7485" max="7485" width="5" style="778" customWidth="1"/>
    <col min="7486" max="7486" width="5.85546875" style="778" customWidth="1"/>
    <col min="7487" max="7487" width="6.140625" style="778" customWidth="1"/>
    <col min="7488" max="7488" width="6.42578125" style="778" customWidth="1"/>
    <col min="7489" max="7489" width="11.140625" style="778" customWidth="1"/>
    <col min="7490" max="7490" width="14.140625" style="778" customWidth="1"/>
    <col min="7491" max="7491" width="19.85546875" style="778" customWidth="1"/>
    <col min="7492" max="7492" width="17" style="778" customWidth="1"/>
    <col min="7493" max="7493" width="20.85546875" style="778" customWidth="1"/>
    <col min="7494" max="7706" width="11.42578125" style="778"/>
    <col min="7707" max="7707" width="13.140625" style="778" customWidth="1"/>
    <col min="7708" max="7708" width="4" style="778" customWidth="1"/>
    <col min="7709" max="7709" width="12.85546875" style="778" customWidth="1"/>
    <col min="7710" max="7710" width="14.5703125" style="778" customWidth="1"/>
    <col min="7711" max="7711" width="10" style="778" customWidth="1"/>
    <col min="7712" max="7712" width="6.42578125" style="778" customWidth="1"/>
    <col min="7713" max="7713" width="12.42578125" style="778" customWidth="1"/>
    <col min="7714" max="7714" width="8.5703125" style="778" customWidth="1"/>
    <col min="7715" max="7715" width="13.5703125" style="778" customWidth="1"/>
    <col min="7716" max="7716" width="11.5703125" style="778" customWidth="1"/>
    <col min="7717" max="7717" width="34.42578125" style="778" customWidth="1"/>
    <col min="7718" max="7718" width="24.42578125" style="778" customWidth="1"/>
    <col min="7719" max="7719" width="21.140625" style="778" customWidth="1"/>
    <col min="7720" max="7720" width="22.140625" style="778" customWidth="1"/>
    <col min="7721" max="7721" width="8" style="778" customWidth="1"/>
    <col min="7722" max="7722" width="17" style="778" customWidth="1"/>
    <col min="7723" max="7723" width="12.5703125" style="778" customWidth="1"/>
    <col min="7724" max="7724" width="24.5703125" style="778" customWidth="1"/>
    <col min="7725" max="7725" width="29" style="778" customWidth="1"/>
    <col min="7726" max="7726" width="17.5703125" style="778" customWidth="1"/>
    <col min="7727" max="7727" width="36.42578125" style="778" customWidth="1"/>
    <col min="7728" max="7728" width="21.85546875" style="778" customWidth="1"/>
    <col min="7729" max="7729" width="11.5703125" style="778" customWidth="1"/>
    <col min="7730" max="7730" width="26.42578125" style="778" customWidth="1"/>
    <col min="7731" max="7731" width="9" style="778" customWidth="1"/>
    <col min="7732" max="7732" width="6.42578125" style="778" customWidth="1"/>
    <col min="7733" max="7734" width="7.42578125" style="778" customWidth="1"/>
    <col min="7735" max="7735" width="8.42578125" style="778" customWidth="1"/>
    <col min="7736" max="7736" width="9.5703125" style="778" customWidth="1"/>
    <col min="7737" max="7737" width="6.42578125" style="778" customWidth="1"/>
    <col min="7738" max="7738" width="5.85546875" style="778" customWidth="1"/>
    <col min="7739" max="7740" width="4.42578125" style="778" customWidth="1"/>
    <col min="7741" max="7741" width="5" style="778" customWidth="1"/>
    <col min="7742" max="7742" width="5.85546875" style="778" customWidth="1"/>
    <col min="7743" max="7743" width="6.140625" style="778" customWidth="1"/>
    <col min="7744" max="7744" width="6.42578125" style="778" customWidth="1"/>
    <col min="7745" max="7745" width="11.140625" style="778" customWidth="1"/>
    <col min="7746" max="7746" width="14.140625" style="778" customWidth="1"/>
    <col min="7747" max="7747" width="19.85546875" style="778" customWidth="1"/>
    <col min="7748" max="7748" width="17" style="778" customWidth="1"/>
    <col min="7749" max="7749" width="20.85546875" style="778" customWidth="1"/>
    <col min="7750" max="7962" width="11.42578125" style="778"/>
    <col min="7963" max="7963" width="13.140625" style="778" customWidth="1"/>
    <col min="7964" max="7964" width="4" style="778" customWidth="1"/>
    <col min="7965" max="7965" width="12.85546875" style="778" customWidth="1"/>
    <col min="7966" max="7966" width="14.5703125" style="778" customWidth="1"/>
    <col min="7967" max="7967" width="10" style="778" customWidth="1"/>
    <col min="7968" max="7968" width="6.42578125" style="778" customWidth="1"/>
    <col min="7969" max="7969" width="12.42578125" style="778" customWidth="1"/>
    <col min="7970" max="7970" width="8.5703125" style="778" customWidth="1"/>
    <col min="7971" max="7971" width="13.5703125" style="778" customWidth="1"/>
    <col min="7972" max="7972" width="11.5703125" style="778" customWidth="1"/>
    <col min="7973" max="7973" width="34.42578125" style="778" customWidth="1"/>
    <col min="7974" max="7974" width="24.42578125" style="778" customWidth="1"/>
    <col min="7975" max="7975" width="21.140625" style="778" customWidth="1"/>
    <col min="7976" max="7976" width="22.140625" style="778" customWidth="1"/>
    <col min="7977" max="7977" width="8" style="778" customWidth="1"/>
    <col min="7978" max="7978" width="17" style="778" customWidth="1"/>
    <col min="7979" max="7979" width="12.5703125" style="778" customWidth="1"/>
    <col min="7980" max="7980" width="24.5703125" style="778" customWidth="1"/>
    <col min="7981" max="7981" width="29" style="778" customWidth="1"/>
    <col min="7982" max="7982" width="17.5703125" style="778" customWidth="1"/>
    <col min="7983" max="7983" width="36.42578125" style="778" customWidth="1"/>
    <col min="7984" max="7984" width="21.85546875" style="778" customWidth="1"/>
    <col min="7985" max="7985" width="11.5703125" style="778" customWidth="1"/>
    <col min="7986" max="7986" width="26.42578125" style="778" customWidth="1"/>
    <col min="7987" max="7987" width="9" style="778" customWidth="1"/>
    <col min="7988" max="7988" width="6.42578125" style="778" customWidth="1"/>
    <col min="7989" max="7990" width="7.42578125" style="778" customWidth="1"/>
    <col min="7991" max="7991" width="8.42578125" style="778" customWidth="1"/>
    <col min="7992" max="7992" width="9.5703125" style="778" customWidth="1"/>
    <col min="7993" max="7993" width="6.42578125" style="778" customWidth="1"/>
    <col min="7994" max="7994" width="5.85546875" style="778" customWidth="1"/>
    <col min="7995" max="7996" width="4.42578125" style="778" customWidth="1"/>
    <col min="7997" max="7997" width="5" style="778" customWidth="1"/>
    <col min="7998" max="7998" width="5.85546875" style="778" customWidth="1"/>
    <col min="7999" max="7999" width="6.140625" style="778" customWidth="1"/>
    <col min="8000" max="8000" width="6.42578125" style="778" customWidth="1"/>
    <col min="8001" max="8001" width="11.140625" style="778" customWidth="1"/>
    <col min="8002" max="8002" width="14.140625" style="778" customWidth="1"/>
    <col min="8003" max="8003" width="19.85546875" style="778" customWidth="1"/>
    <col min="8004" max="8004" width="17" style="778" customWidth="1"/>
    <col min="8005" max="8005" width="20.85546875" style="778" customWidth="1"/>
    <col min="8006" max="8218" width="11.42578125" style="778"/>
    <col min="8219" max="8219" width="13.140625" style="778" customWidth="1"/>
    <col min="8220" max="8220" width="4" style="778" customWidth="1"/>
    <col min="8221" max="8221" width="12.85546875" style="778" customWidth="1"/>
    <col min="8222" max="8222" width="14.5703125" style="778" customWidth="1"/>
    <col min="8223" max="8223" width="10" style="778" customWidth="1"/>
    <col min="8224" max="8224" width="6.42578125" style="778" customWidth="1"/>
    <col min="8225" max="8225" width="12.42578125" style="778" customWidth="1"/>
    <col min="8226" max="8226" width="8.5703125" style="778" customWidth="1"/>
    <col min="8227" max="8227" width="13.5703125" style="778" customWidth="1"/>
    <col min="8228" max="8228" width="11.5703125" style="778" customWidth="1"/>
    <col min="8229" max="8229" width="34.42578125" style="778" customWidth="1"/>
    <col min="8230" max="8230" width="24.42578125" style="778" customWidth="1"/>
    <col min="8231" max="8231" width="21.140625" style="778" customWidth="1"/>
    <col min="8232" max="8232" width="22.140625" style="778" customWidth="1"/>
    <col min="8233" max="8233" width="8" style="778" customWidth="1"/>
    <col min="8234" max="8234" width="17" style="778" customWidth="1"/>
    <col min="8235" max="8235" width="12.5703125" style="778" customWidth="1"/>
    <col min="8236" max="8236" width="24.5703125" style="778" customWidth="1"/>
    <col min="8237" max="8237" width="29" style="778" customWidth="1"/>
    <col min="8238" max="8238" width="17.5703125" style="778" customWidth="1"/>
    <col min="8239" max="8239" width="36.42578125" style="778" customWidth="1"/>
    <col min="8240" max="8240" width="21.85546875" style="778" customWidth="1"/>
    <col min="8241" max="8241" width="11.5703125" style="778" customWidth="1"/>
    <col min="8242" max="8242" width="26.42578125" style="778" customWidth="1"/>
    <col min="8243" max="8243" width="9" style="778" customWidth="1"/>
    <col min="8244" max="8244" width="6.42578125" style="778" customWidth="1"/>
    <col min="8245" max="8246" width="7.42578125" style="778" customWidth="1"/>
    <col min="8247" max="8247" width="8.42578125" style="778" customWidth="1"/>
    <col min="8248" max="8248" width="9.5703125" style="778" customWidth="1"/>
    <col min="8249" max="8249" width="6.42578125" style="778" customWidth="1"/>
    <col min="8250" max="8250" width="5.85546875" style="778" customWidth="1"/>
    <col min="8251" max="8252" width="4.42578125" style="778" customWidth="1"/>
    <col min="8253" max="8253" width="5" style="778" customWidth="1"/>
    <col min="8254" max="8254" width="5.85546875" style="778" customWidth="1"/>
    <col min="8255" max="8255" width="6.140625" style="778" customWidth="1"/>
    <col min="8256" max="8256" width="6.42578125" style="778" customWidth="1"/>
    <col min="8257" max="8257" width="11.140625" style="778" customWidth="1"/>
    <col min="8258" max="8258" width="14.140625" style="778" customWidth="1"/>
    <col min="8259" max="8259" width="19.85546875" style="778" customWidth="1"/>
    <col min="8260" max="8260" width="17" style="778" customWidth="1"/>
    <col min="8261" max="8261" width="20.85546875" style="778" customWidth="1"/>
    <col min="8262" max="8474" width="11.42578125" style="778"/>
    <col min="8475" max="8475" width="13.140625" style="778" customWidth="1"/>
    <col min="8476" max="8476" width="4" style="778" customWidth="1"/>
    <col min="8477" max="8477" width="12.85546875" style="778" customWidth="1"/>
    <col min="8478" max="8478" width="14.5703125" style="778" customWidth="1"/>
    <col min="8479" max="8479" width="10" style="778" customWidth="1"/>
    <col min="8480" max="8480" width="6.42578125" style="778" customWidth="1"/>
    <col min="8481" max="8481" width="12.42578125" style="778" customWidth="1"/>
    <col min="8482" max="8482" width="8.5703125" style="778" customWidth="1"/>
    <col min="8483" max="8483" width="13.5703125" style="778" customWidth="1"/>
    <col min="8484" max="8484" width="11.5703125" style="778" customWidth="1"/>
    <col min="8485" max="8485" width="34.42578125" style="778" customWidth="1"/>
    <col min="8486" max="8486" width="24.42578125" style="778" customWidth="1"/>
    <col min="8487" max="8487" width="21.140625" style="778" customWidth="1"/>
    <col min="8488" max="8488" width="22.140625" style="778" customWidth="1"/>
    <col min="8489" max="8489" width="8" style="778" customWidth="1"/>
    <col min="8490" max="8490" width="17" style="778" customWidth="1"/>
    <col min="8491" max="8491" width="12.5703125" style="778" customWidth="1"/>
    <col min="8492" max="8492" width="24.5703125" style="778" customWidth="1"/>
    <col min="8493" max="8493" width="29" style="778" customWidth="1"/>
    <col min="8494" max="8494" width="17.5703125" style="778" customWidth="1"/>
    <col min="8495" max="8495" width="36.42578125" style="778" customWidth="1"/>
    <col min="8496" max="8496" width="21.85546875" style="778" customWidth="1"/>
    <col min="8497" max="8497" width="11.5703125" style="778" customWidth="1"/>
    <col min="8498" max="8498" width="26.42578125" style="778" customWidth="1"/>
    <col min="8499" max="8499" width="9" style="778" customWidth="1"/>
    <col min="8500" max="8500" width="6.42578125" style="778" customWidth="1"/>
    <col min="8501" max="8502" width="7.42578125" style="778" customWidth="1"/>
    <col min="8503" max="8503" width="8.42578125" style="778" customWidth="1"/>
    <col min="8504" max="8504" width="9.5703125" style="778" customWidth="1"/>
    <col min="8505" max="8505" width="6.42578125" style="778" customWidth="1"/>
    <col min="8506" max="8506" width="5.85546875" style="778" customWidth="1"/>
    <col min="8507" max="8508" width="4.42578125" style="778" customWidth="1"/>
    <col min="8509" max="8509" width="5" style="778" customWidth="1"/>
    <col min="8510" max="8510" width="5.85546875" style="778" customWidth="1"/>
    <col min="8511" max="8511" width="6.140625" style="778" customWidth="1"/>
    <col min="8512" max="8512" width="6.42578125" style="778" customWidth="1"/>
    <col min="8513" max="8513" width="11.140625" style="778" customWidth="1"/>
    <col min="8514" max="8514" width="14.140625" style="778" customWidth="1"/>
    <col min="8515" max="8515" width="19.85546875" style="778" customWidth="1"/>
    <col min="8516" max="8516" width="17" style="778" customWidth="1"/>
    <col min="8517" max="8517" width="20.85546875" style="778" customWidth="1"/>
    <col min="8518" max="8730" width="11.42578125" style="778"/>
    <col min="8731" max="8731" width="13.140625" style="778" customWidth="1"/>
    <col min="8732" max="8732" width="4" style="778" customWidth="1"/>
    <col min="8733" max="8733" width="12.85546875" style="778" customWidth="1"/>
    <col min="8734" max="8734" width="14.5703125" style="778" customWidth="1"/>
    <col min="8735" max="8735" width="10" style="778" customWidth="1"/>
    <col min="8736" max="8736" width="6.42578125" style="778" customWidth="1"/>
    <col min="8737" max="8737" width="12.42578125" style="778" customWidth="1"/>
    <col min="8738" max="8738" width="8.5703125" style="778" customWidth="1"/>
    <col min="8739" max="8739" width="13.5703125" style="778" customWidth="1"/>
    <col min="8740" max="8740" width="11.5703125" style="778" customWidth="1"/>
    <col min="8741" max="8741" width="34.42578125" style="778" customWidth="1"/>
    <col min="8742" max="8742" width="24.42578125" style="778" customWidth="1"/>
    <col min="8743" max="8743" width="21.140625" style="778" customWidth="1"/>
    <col min="8744" max="8744" width="22.140625" style="778" customWidth="1"/>
    <col min="8745" max="8745" width="8" style="778" customWidth="1"/>
    <col min="8746" max="8746" width="17" style="778" customWidth="1"/>
    <col min="8747" max="8747" width="12.5703125" style="778" customWidth="1"/>
    <col min="8748" max="8748" width="24.5703125" style="778" customWidth="1"/>
    <col min="8749" max="8749" width="29" style="778" customWidth="1"/>
    <col min="8750" max="8750" width="17.5703125" style="778" customWidth="1"/>
    <col min="8751" max="8751" width="36.42578125" style="778" customWidth="1"/>
    <col min="8752" max="8752" width="21.85546875" style="778" customWidth="1"/>
    <col min="8753" max="8753" width="11.5703125" style="778" customWidth="1"/>
    <col min="8754" max="8754" width="26.42578125" style="778" customWidth="1"/>
    <col min="8755" max="8755" width="9" style="778" customWidth="1"/>
    <col min="8756" max="8756" width="6.42578125" style="778" customWidth="1"/>
    <col min="8757" max="8758" width="7.42578125" style="778" customWidth="1"/>
    <col min="8759" max="8759" width="8.42578125" style="778" customWidth="1"/>
    <col min="8760" max="8760" width="9.5703125" style="778" customWidth="1"/>
    <col min="8761" max="8761" width="6.42578125" style="778" customWidth="1"/>
    <col min="8762" max="8762" width="5.85546875" style="778" customWidth="1"/>
    <col min="8763" max="8764" width="4.42578125" style="778" customWidth="1"/>
    <col min="8765" max="8765" width="5" style="778" customWidth="1"/>
    <col min="8766" max="8766" width="5.85546875" style="778" customWidth="1"/>
    <col min="8767" max="8767" width="6.140625" style="778" customWidth="1"/>
    <col min="8768" max="8768" width="6.42578125" style="778" customWidth="1"/>
    <col min="8769" max="8769" width="11.140625" style="778" customWidth="1"/>
    <col min="8770" max="8770" width="14.140625" style="778" customWidth="1"/>
    <col min="8771" max="8771" width="19.85546875" style="778" customWidth="1"/>
    <col min="8772" max="8772" width="17" style="778" customWidth="1"/>
    <col min="8773" max="8773" width="20.85546875" style="778" customWidth="1"/>
    <col min="8774" max="8986" width="11.42578125" style="778"/>
    <col min="8987" max="8987" width="13.140625" style="778" customWidth="1"/>
    <col min="8988" max="8988" width="4" style="778" customWidth="1"/>
    <col min="8989" max="8989" width="12.85546875" style="778" customWidth="1"/>
    <col min="8990" max="8990" width="14.5703125" style="778" customWidth="1"/>
    <col min="8991" max="8991" width="10" style="778" customWidth="1"/>
    <col min="8992" max="8992" width="6.42578125" style="778" customWidth="1"/>
    <col min="8993" max="8993" width="12.42578125" style="778" customWidth="1"/>
    <col min="8994" max="8994" width="8.5703125" style="778" customWidth="1"/>
    <col min="8995" max="8995" width="13.5703125" style="778" customWidth="1"/>
    <col min="8996" max="8996" width="11.5703125" style="778" customWidth="1"/>
    <col min="8997" max="8997" width="34.42578125" style="778" customWidth="1"/>
    <col min="8998" max="8998" width="24.42578125" style="778" customWidth="1"/>
    <col min="8999" max="8999" width="21.140625" style="778" customWidth="1"/>
    <col min="9000" max="9000" width="22.140625" style="778" customWidth="1"/>
    <col min="9001" max="9001" width="8" style="778" customWidth="1"/>
    <col min="9002" max="9002" width="17" style="778" customWidth="1"/>
    <col min="9003" max="9003" width="12.5703125" style="778" customWidth="1"/>
    <col min="9004" max="9004" width="24.5703125" style="778" customWidth="1"/>
    <col min="9005" max="9005" width="29" style="778" customWidth="1"/>
    <col min="9006" max="9006" width="17.5703125" style="778" customWidth="1"/>
    <col min="9007" max="9007" width="36.42578125" style="778" customWidth="1"/>
    <col min="9008" max="9008" width="21.85546875" style="778" customWidth="1"/>
    <col min="9009" max="9009" width="11.5703125" style="778" customWidth="1"/>
    <col min="9010" max="9010" width="26.42578125" style="778" customWidth="1"/>
    <col min="9011" max="9011" width="9" style="778" customWidth="1"/>
    <col min="9012" max="9012" width="6.42578125" style="778" customWidth="1"/>
    <col min="9013" max="9014" width="7.42578125" style="778" customWidth="1"/>
    <col min="9015" max="9015" width="8.42578125" style="778" customWidth="1"/>
    <col min="9016" max="9016" width="9.5703125" style="778" customWidth="1"/>
    <col min="9017" max="9017" width="6.42578125" style="778" customWidth="1"/>
    <col min="9018" max="9018" width="5.85546875" style="778" customWidth="1"/>
    <col min="9019" max="9020" width="4.42578125" style="778" customWidth="1"/>
    <col min="9021" max="9021" width="5" style="778" customWidth="1"/>
    <col min="9022" max="9022" width="5.85546875" style="778" customWidth="1"/>
    <col min="9023" max="9023" width="6.140625" style="778" customWidth="1"/>
    <col min="9024" max="9024" width="6.42578125" style="778" customWidth="1"/>
    <col min="9025" max="9025" width="11.140625" style="778" customWidth="1"/>
    <col min="9026" max="9026" width="14.140625" style="778" customWidth="1"/>
    <col min="9027" max="9027" width="19.85546875" style="778" customWidth="1"/>
    <col min="9028" max="9028" width="17" style="778" customWidth="1"/>
    <col min="9029" max="9029" width="20.85546875" style="778" customWidth="1"/>
    <col min="9030" max="9242" width="11.42578125" style="778"/>
    <col min="9243" max="9243" width="13.140625" style="778" customWidth="1"/>
    <col min="9244" max="9244" width="4" style="778" customWidth="1"/>
    <col min="9245" max="9245" width="12.85546875" style="778" customWidth="1"/>
    <col min="9246" max="9246" width="14.5703125" style="778" customWidth="1"/>
    <col min="9247" max="9247" width="10" style="778" customWidth="1"/>
    <col min="9248" max="9248" width="6.42578125" style="778" customWidth="1"/>
    <col min="9249" max="9249" width="12.42578125" style="778" customWidth="1"/>
    <col min="9250" max="9250" width="8.5703125" style="778" customWidth="1"/>
    <col min="9251" max="9251" width="13.5703125" style="778" customWidth="1"/>
    <col min="9252" max="9252" width="11.5703125" style="778" customWidth="1"/>
    <col min="9253" max="9253" width="34.42578125" style="778" customWidth="1"/>
    <col min="9254" max="9254" width="24.42578125" style="778" customWidth="1"/>
    <col min="9255" max="9255" width="21.140625" style="778" customWidth="1"/>
    <col min="9256" max="9256" width="22.140625" style="778" customWidth="1"/>
    <col min="9257" max="9257" width="8" style="778" customWidth="1"/>
    <col min="9258" max="9258" width="17" style="778" customWidth="1"/>
    <col min="9259" max="9259" width="12.5703125" style="778" customWidth="1"/>
    <col min="9260" max="9260" width="24.5703125" style="778" customWidth="1"/>
    <col min="9261" max="9261" width="29" style="778" customWidth="1"/>
    <col min="9262" max="9262" width="17.5703125" style="778" customWidth="1"/>
    <col min="9263" max="9263" width="36.42578125" style="778" customWidth="1"/>
    <col min="9264" max="9264" width="21.85546875" style="778" customWidth="1"/>
    <col min="9265" max="9265" width="11.5703125" style="778" customWidth="1"/>
    <col min="9266" max="9266" width="26.42578125" style="778" customWidth="1"/>
    <col min="9267" max="9267" width="9" style="778" customWidth="1"/>
    <col min="9268" max="9268" width="6.42578125" style="778" customWidth="1"/>
    <col min="9269" max="9270" width="7.42578125" style="778" customWidth="1"/>
    <col min="9271" max="9271" width="8.42578125" style="778" customWidth="1"/>
    <col min="9272" max="9272" width="9.5703125" style="778" customWidth="1"/>
    <col min="9273" max="9273" width="6.42578125" style="778" customWidth="1"/>
    <col min="9274" max="9274" width="5.85546875" style="778" customWidth="1"/>
    <col min="9275" max="9276" width="4.42578125" style="778" customWidth="1"/>
    <col min="9277" max="9277" width="5" style="778" customWidth="1"/>
    <col min="9278" max="9278" width="5.85546875" style="778" customWidth="1"/>
    <col min="9279" max="9279" width="6.140625" style="778" customWidth="1"/>
    <col min="9280" max="9280" width="6.42578125" style="778" customWidth="1"/>
    <col min="9281" max="9281" width="11.140625" style="778" customWidth="1"/>
    <col min="9282" max="9282" width="14.140625" style="778" customWidth="1"/>
    <col min="9283" max="9283" width="19.85546875" style="778" customWidth="1"/>
    <col min="9284" max="9284" width="17" style="778" customWidth="1"/>
    <col min="9285" max="9285" width="20.85546875" style="778" customWidth="1"/>
    <col min="9286" max="9498" width="11.42578125" style="778"/>
    <col min="9499" max="9499" width="13.140625" style="778" customWidth="1"/>
    <col min="9500" max="9500" width="4" style="778" customWidth="1"/>
    <col min="9501" max="9501" width="12.85546875" style="778" customWidth="1"/>
    <col min="9502" max="9502" width="14.5703125" style="778" customWidth="1"/>
    <col min="9503" max="9503" width="10" style="778" customWidth="1"/>
    <col min="9504" max="9504" width="6.42578125" style="778" customWidth="1"/>
    <col min="9505" max="9505" width="12.42578125" style="778" customWidth="1"/>
    <col min="9506" max="9506" width="8.5703125" style="778" customWidth="1"/>
    <col min="9507" max="9507" width="13.5703125" style="778" customWidth="1"/>
    <col min="9508" max="9508" width="11.5703125" style="778" customWidth="1"/>
    <col min="9509" max="9509" width="34.42578125" style="778" customWidth="1"/>
    <col min="9510" max="9510" width="24.42578125" style="778" customWidth="1"/>
    <col min="9511" max="9511" width="21.140625" style="778" customWidth="1"/>
    <col min="9512" max="9512" width="22.140625" style="778" customWidth="1"/>
    <col min="9513" max="9513" width="8" style="778" customWidth="1"/>
    <col min="9514" max="9514" width="17" style="778" customWidth="1"/>
    <col min="9515" max="9515" width="12.5703125" style="778" customWidth="1"/>
    <col min="9516" max="9516" width="24.5703125" style="778" customWidth="1"/>
    <col min="9517" max="9517" width="29" style="778" customWidth="1"/>
    <col min="9518" max="9518" width="17.5703125" style="778" customWidth="1"/>
    <col min="9519" max="9519" width="36.42578125" style="778" customWidth="1"/>
    <col min="9520" max="9520" width="21.85546875" style="778" customWidth="1"/>
    <col min="9521" max="9521" width="11.5703125" style="778" customWidth="1"/>
    <col min="9522" max="9522" width="26.42578125" style="778" customWidth="1"/>
    <col min="9523" max="9523" width="9" style="778" customWidth="1"/>
    <col min="9524" max="9524" width="6.42578125" style="778" customWidth="1"/>
    <col min="9525" max="9526" width="7.42578125" style="778" customWidth="1"/>
    <col min="9527" max="9527" width="8.42578125" style="778" customWidth="1"/>
    <col min="9528" max="9528" width="9.5703125" style="778" customWidth="1"/>
    <col min="9529" max="9529" width="6.42578125" style="778" customWidth="1"/>
    <col min="9530" max="9530" width="5.85546875" style="778" customWidth="1"/>
    <col min="9531" max="9532" width="4.42578125" style="778" customWidth="1"/>
    <col min="9533" max="9533" width="5" style="778" customWidth="1"/>
    <col min="9534" max="9534" width="5.85546875" style="778" customWidth="1"/>
    <col min="9535" max="9535" width="6.140625" style="778" customWidth="1"/>
    <col min="9536" max="9536" width="6.42578125" style="778" customWidth="1"/>
    <col min="9537" max="9537" width="11.140625" style="778" customWidth="1"/>
    <col min="9538" max="9538" width="14.140625" style="778" customWidth="1"/>
    <col min="9539" max="9539" width="19.85546875" style="778" customWidth="1"/>
    <col min="9540" max="9540" width="17" style="778" customWidth="1"/>
    <col min="9541" max="9541" width="20.85546875" style="778" customWidth="1"/>
    <col min="9542" max="9754" width="11.42578125" style="778"/>
    <col min="9755" max="9755" width="13.140625" style="778" customWidth="1"/>
    <col min="9756" max="9756" width="4" style="778" customWidth="1"/>
    <col min="9757" max="9757" width="12.85546875" style="778" customWidth="1"/>
    <col min="9758" max="9758" width="14.5703125" style="778" customWidth="1"/>
    <col min="9759" max="9759" width="10" style="778" customWidth="1"/>
    <col min="9760" max="9760" width="6.42578125" style="778" customWidth="1"/>
    <col min="9761" max="9761" width="12.42578125" style="778" customWidth="1"/>
    <col min="9762" max="9762" width="8.5703125" style="778" customWidth="1"/>
    <col min="9763" max="9763" width="13.5703125" style="778" customWidth="1"/>
    <col min="9764" max="9764" width="11.5703125" style="778" customWidth="1"/>
    <col min="9765" max="9765" width="34.42578125" style="778" customWidth="1"/>
    <col min="9766" max="9766" width="24.42578125" style="778" customWidth="1"/>
    <col min="9767" max="9767" width="21.140625" style="778" customWidth="1"/>
    <col min="9768" max="9768" width="22.140625" style="778" customWidth="1"/>
    <col min="9769" max="9769" width="8" style="778" customWidth="1"/>
    <col min="9770" max="9770" width="17" style="778" customWidth="1"/>
    <col min="9771" max="9771" width="12.5703125" style="778" customWidth="1"/>
    <col min="9772" max="9772" width="24.5703125" style="778" customWidth="1"/>
    <col min="9773" max="9773" width="29" style="778" customWidth="1"/>
    <col min="9774" max="9774" width="17.5703125" style="778" customWidth="1"/>
    <col min="9775" max="9775" width="36.42578125" style="778" customWidth="1"/>
    <col min="9776" max="9776" width="21.85546875" style="778" customWidth="1"/>
    <col min="9777" max="9777" width="11.5703125" style="778" customWidth="1"/>
    <col min="9778" max="9778" width="26.42578125" style="778" customWidth="1"/>
    <col min="9779" max="9779" width="9" style="778" customWidth="1"/>
    <col min="9780" max="9780" width="6.42578125" style="778" customWidth="1"/>
    <col min="9781" max="9782" width="7.42578125" style="778" customWidth="1"/>
    <col min="9783" max="9783" width="8.42578125" style="778" customWidth="1"/>
    <col min="9784" max="9784" width="9.5703125" style="778" customWidth="1"/>
    <col min="9785" max="9785" width="6.42578125" style="778" customWidth="1"/>
    <col min="9786" max="9786" width="5.85546875" style="778" customWidth="1"/>
    <col min="9787" max="9788" width="4.42578125" style="778" customWidth="1"/>
    <col min="9789" max="9789" width="5" style="778" customWidth="1"/>
    <col min="9790" max="9790" width="5.85546875" style="778" customWidth="1"/>
    <col min="9791" max="9791" width="6.140625" style="778" customWidth="1"/>
    <col min="9792" max="9792" width="6.42578125" style="778" customWidth="1"/>
    <col min="9793" max="9793" width="11.140625" style="778" customWidth="1"/>
    <col min="9794" max="9794" width="14.140625" style="778" customWidth="1"/>
    <col min="9795" max="9795" width="19.85546875" style="778" customWidth="1"/>
    <col min="9796" max="9796" width="17" style="778" customWidth="1"/>
    <col min="9797" max="9797" width="20.85546875" style="778" customWidth="1"/>
    <col min="9798" max="10010" width="11.42578125" style="778"/>
    <col min="10011" max="10011" width="13.140625" style="778" customWidth="1"/>
    <col min="10012" max="10012" width="4" style="778" customWidth="1"/>
    <col min="10013" max="10013" width="12.85546875" style="778" customWidth="1"/>
    <col min="10014" max="10014" width="14.5703125" style="778" customWidth="1"/>
    <col min="10015" max="10015" width="10" style="778" customWidth="1"/>
    <col min="10016" max="10016" width="6.42578125" style="778" customWidth="1"/>
    <col min="10017" max="10017" width="12.42578125" style="778" customWidth="1"/>
    <col min="10018" max="10018" width="8.5703125" style="778" customWidth="1"/>
    <col min="10019" max="10019" width="13.5703125" style="778" customWidth="1"/>
    <col min="10020" max="10020" width="11.5703125" style="778" customWidth="1"/>
    <col min="10021" max="10021" width="34.42578125" style="778" customWidth="1"/>
    <col min="10022" max="10022" width="24.42578125" style="778" customWidth="1"/>
    <col min="10023" max="10023" width="21.140625" style="778" customWidth="1"/>
    <col min="10024" max="10024" width="22.140625" style="778" customWidth="1"/>
    <col min="10025" max="10025" width="8" style="778" customWidth="1"/>
    <col min="10026" max="10026" width="17" style="778" customWidth="1"/>
    <col min="10027" max="10027" width="12.5703125" style="778" customWidth="1"/>
    <col min="10028" max="10028" width="24.5703125" style="778" customWidth="1"/>
    <col min="10029" max="10029" width="29" style="778" customWidth="1"/>
    <col min="10030" max="10030" width="17.5703125" style="778" customWidth="1"/>
    <col min="10031" max="10031" width="36.42578125" style="778" customWidth="1"/>
    <col min="10032" max="10032" width="21.85546875" style="778" customWidth="1"/>
    <col min="10033" max="10033" width="11.5703125" style="778" customWidth="1"/>
    <col min="10034" max="10034" width="26.42578125" style="778" customWidth="1"/>
    <col min="10035" max="10035" width="9" style="778" customWidth="1"/>
    <col min="10036" max="10036" width="6.42578125" style="778" customWidth="1"/>
    <col min="10037" max="10038" width="7.42578125" style="778" customWidth="1"/>
    <col min="10039" max="10039" width="8.42578125" style="778" customWidth="1"/>
    <col min="10040" max="10040" width="9.5703125" style="778" customWidth="1"/>
    <col min="10041" max="10041" width="6.42578125" style="778" customWidth="1"/>
    <col min="10042" max="10042" width="5.85546875" style="778" customWidth="1"/>
    <col min="10043" max="10044" width="4.42578125" style="778" customWidth="1"/>
    <col min="10045" max="10045" width="5" style="778" customWidth="1"/>
    <col min="10046" max="10046" width="5.85546875" style="778" customWidth="1"/>
    <col min="10047" max="10047" width="6.140625" style="778" customWidth="1"/>
    <col min="10048" max="10048" width="6.42578125" style="778" customWidth="1"/>
    <col min="10049" max="10049" width="11.140625" style="778" customWidth="1"/>
    <col min="10050" max="10050" width="14.140625" style="778" customWidth="1"/>
    <col min="10051" max="10051" width="19.85546875" style="778" customWidth="1"/>
    <col min="10052" max="10052" width="17" style="778" customWidth="1"/>
    <col min="10053" max="10053" width="20.85546875" style="778" customWidth="1"/>
    <col min="10054" max="10266" width="11.42578125" style="778"/>
    <col min="10267" max="10267" width="13.140625" style="778" customWidth="1"/>
    <col min="10268" max="10268" width="4" style="778" customWidth="1"/>
    <col min="10269" max="10269" width="12.85546875" style="778" customWidth="1"/>
    <col min="10270" max="10270" width="14.5703125" style="778" customWidth="1"/>
    <col min="10271" max="10271" width="10" style="778" customWidth="1"/>
    <col min="10272" max="10272" width="6.42578125" style="778" customWidth="1"/>
    <col min="10273" max="10273" width="12.42578125" style="778" customWidth="1"/>
    <col min="10274" max="10274" width="8.5703125" style="778" customWidth="1"/>
    <col min="10275" max="10275" width="13.5703125" style="778" customWidth="1"/>
    <col min="10276" max="10276" width="11.5703125" style="778" customWidth="1"/>
    <col min="10277" max="10277" width="34.42578125" style="778" customWidth="1"/>
    <col min="10278" max="10278" width="24.42578125" style="778" customWidth="1"/>
    <col min="10279" max="10279" width="21.140625" style="778" customWidth="1"/>
    <col min="10280" max="10280" width="22.140625" style="778" customWidth="1"/>
    <col min="10281" max="10281" width="8" style="778" customWidth="1"/>
    <col min="10282" max="10282" width="17" style="778" customWidth="1"/>
    <col min="10283" max="10283" width="12.5703125" style="778" customWidth="1"/>
    <col min="10284" max="10284" width="24.5703125" style="778" customWidth="1"/>
    <col min="10285" max="10285" width="29" style="778" customWidth="1"/>
    <col min="10286" max="10286" width="17.5703125" style="778" customWidth="1"/>
    <col min="10287" max="10287" width="36.42578125" style="778" customWidth="1"/>
    <col min="10288" max="10288" width="21.85546875" style="778" customWidth="1"/>
    <col min="10289" max="10289" width="11.5703125" style="778" customWidth="1"/>
    <col min="10290" max="10290" width="26.42578125" style="778" customWidth="1"/>
    <col min="10291" max="10291" width="9" style="778" customWidth="1"/>
    <col min="10292" max="10292" width="6.42578125" style="778" customWidth="1"/>
    <col min="10293" max="10294" width="7.42578125" style="778" customWidth="1"/>
    <col min="10295" max="10295" width="8.42578125" style="778" customWidth="1"/>
    <col min="10296" max="10296" width="9.5703125" style="778" customWidth="1"/>
    <col min="10297" max="10297" width="6.42578125" style="778" customWidth="1"/>
    <col min="10298" max="10298" width="5.85546875" style="778" customWidth="1"/>
    <col min="10299" max="10300" width="4.42578125" style="778" customWidth="1"/>
    <col min="10301" max="10301" width="5" style="778" customWidth="1"/>
    <col min="10302" max="10302" width="5.85546875" style="778" customWidth="1"/>
    <col min="10303" max="10303" width="6.140625" style="778" customWidth="1"/>
    <col min="10304" max="10304" width="6.42578125" style="778" customWidth="1"/>
    <col min="10305" max="10305" width="11.140625" style="778" customWidth="1"/>
    <col min="10306" max="10306" width="14.140625" style="778" customWidth="1"/>
    <col min="10307" max="10307" width="19.85546875" style="778" customWidth="1"/>
    <col min="10308" max="10308" width="17" style="778" customWidth="1"/>
    <col min="10309" max="10309" width="20.85546875" style="778" customWidth="1"/>
    <col min="10310" max="10522" width="11.42578125" style="778"/>
    <col min="10523" max="10523" width="13.140625" style="778" customWidth="1"/>
    <col min="10524" max="10524" width="4" style="778" customWidth="1"/>
    <col min="10525" max="10525" width="12.85546875" style="778" customWidth="1"/>
    <col min="10526" max="10526" width="14.5703125" style="778" customWidth="1"/>
    <col min="10527" max="10527" width="10" style="778" customWidth="1"/>
    <col min="10528" max="10528" width="6.42578125" style="778" customWidth="1"/>
    <col min="10529" max="10529" width="12.42578125" style="778" customWidth="1"/>
    <col min="10530" max="10530" width="8.5703125" style="778" customWidth="1"/>
    <col min="10531" max="10531" width="13.5703125" style="778" customWidth="1"/>
    <col min="10532" max="10532" width="11.5703125" style="778" customWidth="1"/>
    <col min="10533" max="10533" width="34.42578125" style="778" customWidth="1"/>
    <col min="10534" max="10534" width="24.42578125" style="778" customWidth="1"/>
    <col min="10535" max="10535" width="21.140625" style="778" customWidth="1"/>
    <col min="10536" max="10536" width="22.140625" style="778" customWidth="1"/>
    <col min="10537" max="10537" width="8" style="778" customWidth="1"/>
    <col min="10538" max="10538" width="17" style="778" customWidth="1"/>
    <col min="10539" max="10539" width="12.5703125" style="778" customWidth="1"/>
    <col min="10540" max="10540" width="24.5703125" style="778" customWidth="1"/>
    <col min="10541" max="10541" width="29" style="778" customWidth="1"/>
    <col min="10542" max="10542" width="17.5703125" style="778" customWidth="1"/>
    <col min="10543" max="10543" width="36.42578125" style="778" customWidth="1"/>
    <col min="10544" max="10544" width="21.85546875" style="778" customWidth="1"/>
    <col min="10545" max="10545" width="11.5703125" style="778" customWidth="1"/>
    <col min="10546" max="10546" width="26.42578125" style="778" customWidth="1"/>
    <col min="10547" max="10547" width="9" style="778" customWidth="1"/>
    <col min="10548" max="10548" width="6.42578125" style="778" customWidth="1"/>
    <col min="10549" max="10550" width="7.42578125" style="778" customWidth="1"/>
    <col min="10551" max="10551" width="8.42578125" style="778" customWidth="1"/>
    <col min="10552" max="10552" width="9.5703125" style="778" customWidth="1"/>
    <col min="10553" max="10553" width="6.42578125" style="778" customWidth="1"/>
    <col min="10554" max="10554" width="5.85546875" style="778" customWidth="1"/>
    <col min="10555" max="10556" width="4.42578125" style="778" customWidth="1"/>
    <col min="10557" max="10557" width="5" style="778" customWidth="1"/>
    <col min="10558" max="10558" width="5.85546875" style="778" customWidth="1"/>
    <col min="10559" max="10559" width="6.140625" style="778" customWidth="1"/>
    <col min="10560" max="10560" width="6.42578125" style="778" customWidth="1"/>
    <col min="10561" max="10561" width="11.140625" style="778" customWidth="1"/>
    <col min="10562" max="10562" width="14.140625" style="778" customWidth="1"/>
    <col min="10563" max="10563" width="19.85546875" style="778" customWidth="1"/>
    <col min="10564" max="10564" width="17" style="778" customWidth="1"/>
    <col min="10565" max="10565" width="20.85546875" style="778" customWidth="1"/>
    <col min="10566" max="10778" width="11.42578125" style="778"/>
    <col min="10779" max="10779" width="13.140625" style="778" customWidth="1"/>
    <col min="10780" max="10780" width="4" style="778" customWidth="1"/>
    <col min="10781" max="10781" width="12.85546875" style="778" customWidth="1"/>
    <col min="10782" max="10782" width="14.5703125" style="778" customWidth="1"/>
    <col min="10783" max="10783" width="10" style="778" customWidth="1"/>
    <col min="10784" max="10784" width="6.42578125" style="778" customWidth="1"/>
    <col min="10785" max="10785" width="12.42578125" style="778" customWidth="1"/>
    <col min="10786" max="10786" width="8.5703125" style="778" customWidth="1"/>
    <col min="10787" max="10787" width="13.5703125" style="778" customWidth="1"/>
    <col min="10788" max="10788" width="11.5703125" style="778" customWidth="1"/>
    <col min="10789" max="10789" width="34.42578125" style="778" customWidth="1"/>
    <col min="10790" max="10790" width="24.42578125" style="778" customWidth="1"/>
    <col min="10791" max="10791" width="21.140625" style="778" customWidth="1"/>
    <col min="10792" max="10792" width="22.140625" style="778" customWidth="1"/>
    <col min="10793" max="10793" width="8" style="778" customWidth="1"/>
    <col min="10794" max="10794" width="17" style="778" customWidth="1"/>
    <col min="10795" max="10795" width="12.5703125" style="778" customWidth="1"/>
    <col min="10796" max="10796" width="24.5703125" style="778" customWidth="1"/>
    <col min="10797" max="10797" width="29" style="778" customWidth="1"/>
    <col min="10798" max="10798" width="17.5703125" style="778" customWidth="1"/>
    <col min="10799" max="10799" width="36.42578125" style="778" customWidth="1"/>
    <col min="10800" max="10800" width="21.85546875" style="778" customWidth="1"/>
    <col min="10801" max="10801" width="11.5703125" style="778" customWidth="1"/>
    <col min="10802" max="10802" width="26.42578125" style="778" customWidth="1"/>
    <col min="10803" max="10803" width="9" style="778" customWidth="1"/>
    <col min="10804" max="10804" width="6.42578125" style="778" customWidth="1"/>
    <col min="10805" max="10806" width="7.42578125" style="778" customWidth="1"/>
    <col min="10807" max="10807" width="8.42578125" style="778" customWidth="1"/>
    <col min="10808" max="10808" width="9.5703125" style="778" customWidth="1"/>
    <col min="10809" max="10809" width="6.42578125" style="778" customWidth="1"/>
    <col min="10810" max="10810" width="5.85546875" style="778" customWidth="1"/>
    <col min="10811" max="10812" width="4.42578125" style="778" customWidth="1"/>
    <col min="10813" max="10813" width="5" style="778" customWidth="1"/>
    <col min="10814" max="10814" width="5.85546875" style="778" customWidth="1"/>
    <col min="10815" max="10815" width="6.140625" style="778" customWidth="1"/>
    <col min="10816" max="10816" width="6.42578125" style="778" customWidth="1"/>
    <col min="10817" max="10817" width="11.140625" style="778" customWidth="1"/>
    <col min="10818" max="10818" width="14.140625" style="778" customWidth="1"/>
    <col min="10819" max="10819" width="19.85546875" style="778" customWidth="1"/>
    <col min="10820" max="10820" width="17" style="778" customWidth="1"/>
    <col min="10821" max="10821" width="20.85546875" style="778" customWidth="1"/>
    <col min="10822" max="11034" width="11.42578125" style="778"/>
    <col min="11035" max="11035" width="13.140625" style="778" customWidth="1"/>
    <col min="11036" max="11036" width="4" style="778" customWidth="1"/>
    <col min="11037" max="11037" width="12.85546875" style="778" customWidth="1"/>
    <col min="11038" max="11038" width="14.5703125" style="778" customWidth="1"/>
    <col min="11039" max="11039" width="10" style="778" customWidth="1"/>
    <col min="11040" max="11040" width="6.42578125" style="778" customWidth="1"/>
    <col min="11041" max="11041" width="12.42578125" style="778" customWidth="1"/>
    <col min="11042" max="11042" width="8.5703125" style="778" customWidth="1"/>
    <col min="11043" max="11043" width="13.5703125" style="778" customWidth="1"/>
    <col min="11044" max="11044" width="11.5703125" style="778" customWidth="1"/>
    <col min="11045" max="11045" width="34.42578125" style="778" customWidth="1"/>
    <col min="11046" max="11046" width="24.42578125" style="778" customWidth="1"/>
    <col min="11047" max="11047" width="21.140625" style="778" customWidth="1"/>
    <col min="11048" max="11048" width="22.140625" style="778" customWidth="1"/>
    <col min="11049" max="11049" width="8" style="778" customWidth="1"/>
    <col min="11050" max="11050" width="17" style="778" customWidth="1"/>
    <col min="11051" max="11051" width="12.5703125" style="778" customWidth="1"/>
    <col min="11052" max="11052" width="24.5703125" style="778" customWidth="1"/>
    <col min="11053" max="11053" width="29" style="778" customWidth="1"/>
    <col min="11054" max="11054" width="17.5703125" style="778" customWidth="1"/>
    <col min="11055" max="11055" width="36.42578125" style="778" customWidth="1"/>
    <col min="11056" max="11056" width="21.85546875" style="778" customWidth="1"/>
    <col min="11057" max="11057" width="11.5703125" style="778" customWidth="1"/>
    <col min="11058" max="11058" width="26.42578125" style="778" customWidth="1"/>
    <col min="11059" max="11059" width="9" style="778" customWidth="1"/>
    <col min="11060" max="11060" width="6.42578125" style="778" customWidth="1"/>
    <col min="11061" max="11062" width="7.42578125" style="778" customWidth="1"/>
    <col min="11063" max="11063" width="8.42578125" style="778" customWidth="1"/>
    <col min="11064" max="11064" width="9.5703125" style="778" customWidth="1"/>
    <col min="11065" max="11065" width="6.42578125" style="778" customWidth="1"/>
    <col min="11066" max="11066" width="5.85546875" style="778" customWidth="1"/>
    <col min="11067" max="11068" width="4.42578125" style="778" customWidth="1"/>
    <col min="11069" max="11069" width="5" style="778" customWidth="1"/>
    <col min="11070" max="11070" width="5.85546875" style="778" customWidth="1"/>
    <col min="11071" max="11071" width="6.140625" style="778" customWidth="1"/>
    <col min="11072" max="11072" width="6.42578125" style="778" customWidth="1"/>
    <col min="11073" max="11073" width="11.140625" style="778" customWidth="1"/>
    <col min="11074" max="11074" width="14.140625" style="778" customWidth="1"/>
    <col min="11075" max="11075" width="19.85546875" style="778" customWidth="1"/>
    <col min="11076" max="11076" width="17" style="778" customWidth="1"/>
    <col min="11077" max="11077" width="20.85546875" style="778" customWidth="1"/>
    <col min="11078" max="11290" width="11.42578125" style="778"/>
    <col min="11291" max="11291" width="13.140625" style="778" customWidth="1"/>
    <col min="11292" max="11292" width="4" style="778" customWidth="1"/>
    <col min="11293" max="11293" width="12.85546875" style="778" customWidth="1"/>
    <col min="11294" max="11294" width="14.5703125" style="778" customWidth="1"/>
    <col min="11295" max="11295" width="10" style="778" customWidth="1"/>
    <col min="11296" max="11296" width="6.42578125" style="778" customWidth="1"/>
    <col min="11297" max="11297" width="12.42578125" style="778" customWidth="1"/>
    <col min="11298" max="11298" width="8.5703125" style="778" customWidth="1"/>
    <col min="11299" max="11299" width="13.5703125" style="778" customWidth="1"/>
    <col min="11300" max="11300" width="11.5703125" style="778" customWidth="1"/>
    <col min="11301" max="11301" width="34.42578125" style="778" customWidth="1"/>
    <col min="11302" max="11302" width="24.42578125" style="778" customWidth="1"/>
    <col min="11303" max="11303" width="21.140625" style="778" customWidth="1"/>
    <col min="11304" max="11304" width="22.140625" style="778" customWidth="1"/>
    <col min="11305" max="11305" width="8" style="778" customWidth="1"/>
    <col min="11306" max="11306" width="17" style="778" customWidth="1"/>
    <col min="11307" max="11307" width="12.5703125" style="778" customWidth="1"/>
    <col min="11308" max="11308" width="24.5703125" style="778" customWidth="1"/>
    <col min="11309" max="11309" width="29" style="778" customWidth="1"/>
    <col min="11310" max="11310" width="17.5703125" style="778" customWidth="1"/>
    <col min="11311" max="11311" width="36.42578125" style="778" customWidth="1"/>
    <col min="11312" max="11312" width="21.85546875" style="778" customWidth="1"/>
    <col min="11313" max="11313" width="11.5703125" style="778" customWidth="1"/>
    <col min="11314" max="11314" width="26.42578125" style="778" customWidth="1"/>
    <col min="11315" max="11315" width="9" style="778" customWidth="1"/>
    <col min="11316" max="11316" width="6.42578125" style="778" customWidth="1"/>
    <col min="11317" max="11318" width="7.42578125" style="778" customWidth="1"/>
    <col min="11319" max="11319" width="8.42578125" style="778" customWidth="1"/>
    <col min="11320" max="11320" width="9.5703125" style="778" customWidth="1"/>
    <col min="11321" max="11321" width="6.42578125" style="778" customWidth="1"/>
    <col min="11322" max="11322" width="5.85546875" style="778" customWidth="1"/>
    <col min="11323" max="11324" width="4.42578125" style="778" customWidth="1"/>
    <col min="11325" max="11325" width="5" style="778" customWidth="1"/>
    <col min="11326" max="11326" width="5.85546875" style="778" customWidth="1"/>
    <col min="11327" max="11327" width="6.140625" style="778" customWidth="1"/>
    <col min="11328" max="11328" width="6.42578125" style="778" customWidth="1"/>
    <col min="11329" max="11329" width="11.140625" style="778" customWidth="1"/>
    <col min="11330" max="11330" width="14.140625" style="778" customWidth="1"/>
    <col min="11331" max="11331" width="19.85546875" style="778" customWidth="1"/>
    <col min="11332" max="11332" width="17" style="778" customWidth="1"/>
    <col min="11333" max="11333" width="20.85546875" style="778" customWidth="1"/>
    <col min="11334" max="11546" width="11.42578125" style="778"/>
    <col min="11547" max="11547" width="13.140625" style="778" customWidth="1"/>
    <col min="11548" max="11548" width="4" style="778" customWidth="1"/>
    <col min="11549" max="11549" width="12.85546875" style="778" customWidth="1"/>
    <col min="11550" max="11550" width="14.5703125" style="778" customWidth="1"/>
    <col min="11551" max="11551" width="10" style="778" customWidth="1"/>
    <col min="11552" max="11552" width="6.42578125" style="778" customWidth="1"/>
    <col min="11553" max="11553" width="12.42578125" style="778" customWidth="1"/>
    <col min="11554" max="11554" width="8.5703125" style="778" customWidth="1"/>
    <col min="11555" max="11555" width="13.5703125" style="778" customWidth="1"/>
    <col min="11556" max="11556" width="11.5703125" style="778" customWidth="1"/>
    <col min="11557" max="11557" width="34.42578125" style="778" customWidth="1"/>
    <col min="11558" max="11558" width="24.42578125" style="778" customWidth="1"/>
    <col min="11559" max="11559" width="21.140625" style="778" customWidth="1"/>
    <col min="11560" max="11560" width="22.140625" style="778" customWidth="1"/>
    <col min="11561" max="11561" width="8" style="778" customWidth="1"/>
    <col min="11562" max="11562" width="17" style="778" customWidth="1"/>
    <col min="11563" max="11563" width="12.5703125" style="778" customWidth="1"/>
    <col min="11564" max="11564" width="24.5703125" style="778" customWidth="1"/>
    <col min="11565" max="11565" width="29" style="778" customWidth="1"/>
    <col min="11566" max="11566" width="17.5703125" style="778" customWidth="1"/>
    <col min="11567" max="11567" width="36.42578125" style="778" customWidth="1"/>
    <col min="11568" max="11568" width="21.85546875" style="778" customWidth="1"/>
    <col min="11569" max="11569" width="11.5703125" style="778" customWidth="1"/>
    <col min="11570" max="11570" width="26.42578125" style="778" customWidth="1"/>
    <col min="11571" max="11571" width="9" style="778" customWidth="1"/>
    <col min="11572" max="11572" width="6.42578125" style="778" customWidth="1"/>
    <col min="11573" max="11574" width="7.42578125" style="778" customWidth="1"/>
    <col min="11575" max="11575" width="8.42578125" style="778" customWidth="1"/>
    <col min="11576" max="11576" width="9.5703125" style="778" customWidth="1"/>
    <col min="11577" max="11577" width="6.42578125" style="778" customWidth="1"/>
    <col min="11578" max="11578" width="5.85546875" style="778" customWidth="1"/>
    <col min="11579" max="11580" width="4.42578125" style="778" customWidth="1"/>
    <col min="11581" max="11581" width="5" style="778" customWidth="1"/>
    <col min="11582" max="11582" width="5.85546875" style="778" customWidth="1"/>
    <col min="11583" max="11583" width="6.140625" style="778" customWidth="1"/>
    <col min="11584" max="11584" width="6.42578125" style="778" customWidth="1"/>
    <col min="11585" max="11585" width="11.140625" style="778" customWidth="1"/>
    <col min="11586" max="11586" width="14.140625" style="778" customWidth="1"/>
    <col min="11587" max="11587" width="19.85546875" style="778" customWidth="1"/>
    <col min="11588" max="11588" width="17" style="778" customWidth="1"/>
    <col min="11589" max="11589" width="20.85546875" style="778" customWidth="1"/>
    <col min="11590" max="11802" width="11.42578125" style="778"/>
    <col min="11803" max="11803" width="13.140625" style="778" customWidth="1"/>
    <col min="11804" max="11804" width="4" style="778" customWidth="1"/>
    <col min="11805" max="11805" width="12.85546875" style="778" customWidth="1"/>
    <col min="11806" max="11806" width="14.5703125" style="778" customWidth="1"/>
    <col min="11807" max="11807" width="10" style="778" customWidth="1"/>
    <col min="11808" max="11808" width="6.42578125" style="778" customWidth="1"/>
    <col min="11809" max="11809" width="12.42578125" style="778" customWidth="1"/>
    <col min="11810" max="11810" width="8.5703125" style="778" customWidth="1"/>
    <col min="11811" max="11811" width="13.5703125" style="778" customWidth="1"/>
    <col min="11812" max="11812" width="11.5703125" style="778" customWidth="1"/>
    <col min="11813" max="11813" width="34.42578125" style="778" customWidth="1"/>
    <col min="11814" max="11814" width="24.42578125" style="778" customWidth="1"/>
    <col min="11815" max="11815" width="21.140625" style="778" customWidth="1"/>
    <col min="11816" max="11816" width="22.140625" style="778" customWidth="1"/>
    <col min="11817" max="11817" width="8" style="778" customWidth="1"/>
    <col min="11818" max="11818" width="17" style="778" customWidth="1"/>
    <col min="11819" max="11819" width="12.5703125" style="778" customWidth="1"/>
    <col min="11820" max="11820" width="24.5703125" style="778" customWidth="1"/>
    <col min="11821" max="11821" width="29" style="778" customWidth="1"/>
    <col min="11822" max="11822" width="17.5703125" style="778" customWidth="1"/>
    <col min="11823" max="11823" width="36.42578125" style="778" customWidth="1"/>
    <col min="11824" max="11824" width="21.85546875" style="778" customWidth="1"/>
    <col min="11825" max="11825" width="11.5703125" style="778" customWidth="1"/>
    <col min="11826" max="11826" width="26.42578125" style="778" customWidth="1"/>
    <col min="11827" max="11827" width="9" style="778" customWidth="1"/>
    <col min="11828" max="11828" width="6.42578125" style="778" customWidth="1"/>
    <col min="11829" max="11830" width="7.42578125" style="778" customWidth="1"/>
    <col min="11831" max="11831" width="8.42578125" style="778" customWidth="1"/>
    <col min="11832" max="11832" width="9.5703125" style="778" customWidth="1"/>
    <col min="11833" max="11833" width="6.42578125" style="778" customWidth="1"/>
    <col min="11834" max="11834" width="5.85546875" style="778" customWidth="1"/>
    <col min="11835" max="11836" width="4.42578125" style="778" customWidth="1"/>
    <col min="11837" max="11837" width="5" style="778" customWidth="1"/>
    <col min="11838" max="11838" width="5.85546875" style="778" customWidth="1"/>
    <col min="11839" max="11839" width="6.140625" style="778" customWidth="1"/>
    <col min="11840" max="11840" width="6.42578125" style="778" customWidth="1"/>
    <col min="11841" max="11841" width="11.140625" style="778" customWidth="1"/>
    <col min="11842" max="11842" width="14.140625" style="778" customWidth="1"/>
    <col min="11843" max="11843" width="19.85546875" style="778" customWidth="1"/>
    <col min="11844" max="11844" width="17" style="778" customWidth="1"/>
    <col min="11845" max="11845" width="20.85546875" style="778" customWidth="1"/>
    <col min="11846" max="12058" width="11.42578125" style="778"/>
    <col min="12059" max="12059" width="13.140625" style="778" customWidth="1"/>
    <col min="12060" max="12060" width="4" style="778" customWidth="1"/>
    <col min="12061" max="12061" width="12.85546875" style="778" customWidth="1"/>
    <col min="12062" max="12062" width="14.5703125" style="778" customWidth="1"/>
    <col min="12063" max="12063" width="10" style="778" customWidth="1"/>
    <col min="12064" max="12064" width="6.42578125" style="778" customWidth="1"/>
    <col min="12065" max="12065" width="12.42578125" style="778" customWidth="1"/>
    <col min="12066" max="12066" width="8.5703125" style="778" customWidth="1"/>
    <col min="12067" max="12067" width="13.5703125" style="778" customWidth="1"/>
    <col min="12068" max="12068" width="11.5703125" style="778" customWidth="1"/>
    <col min="12069" max="12069" width="34.42578125" style="778" customWidth="1"/>
    <col min="12070" max="12070" width="24.42578125" style="778" customWidth="1"/>
    <col min="12071" max="12071" width="21.140625" style="778" customWidth="1"/>
    <col min="12072" max="12072" width="22.140625" style="778" customWidth="1"/>
    <col min="12073" max="12073" width="8" style="778" customWidth="1"/>
    <col min="12074" max="12074" width="17" style="778" customWidth="1"/>
    <col min="12075" max="12075" width="12.5703125" style="778" customWidth="1"/>
    <col min="12076" max="12076" width="24.5703125" style="778" customWidth="1"/>
    <col min="12077" max="12077" width="29" style="778" customWidth="1"/>
    <col min="12078" max="12078" width="17.5703125" style="778" customWidth="1"/>
    <col min="12079" max="12079" width="36.42578125" style="778" customWidth="1"/>
    <col min="12080" max="12080" width="21.85546875" style="778" customWidth="1"/>
    <col min="12081" max="12081" width="11.5703125" style="778" customWidth="1"/>
    <col min="12082" max="12082" width="26.42578125" style="778" customWidth="1"/>
    <col min="12083" max="12083" width="9" style="778" customWidth="1"/>
    <col min="12084" max="12084" width="6.42578125" style="778" customWidth="1"/>
    <col min="12085" max="12086" width="7.42578125" style="778" customWidth="1"/>
    <col min="12087" max="12087" width="8.42578125" style="778" customWidth="1"/>
    <col min="12088" max="12088" width="9.5703125" style="778" customWidth="1"/>
    <col min="12089" max="12089" width="6.42578125" style="778" customWidth="1"/>
    <col min="12090" max="12090" width="5.85546875" style="778" customWidth="1"/>
    <col min="12091" max="12092" width="4.42578125" style="778" customWidth="1"/>
    <col min="12093" max="12093" width="5" style="778" customWidth="1"/>
    <col min="12094" max="12094" width="5.85546875" style="778" customWidth="1"/>
    <col min="12095" max="12095" width="6.140625" style="778" customWidth="1"/>
    <col min="12096" max="12096" width="6.42578125" style="778" customWidth="1"/>
    <col min="12097" max="12097" width="11.140625" style="778" customWidth="1"/>
    <col min="12098" max="12098" width="14.140625" style="778" customWidth="1"/>
    <col min="12099" max="12099" width="19.85546875" style="778" customWidth="1"/>
    <col min="12100" max="12100" width="17" style="778" customWidth="1"/>
    <col min="12101" max="12101" width="20.85546875" style="778" customWidth="1"/>
    <col min="12102" max="12314" width="11.42578125" style="778"/>
    <col min="12315" max="12315" width="13.140625" style="778" customWidth="1"/>
    <col min="12316" max="12316" width="4" style="778" customWidth="1"/>
    <col min="12317" max="12317" width="12.85546875" style="778" customWidth="1"/>
    <col min="12318" max="12318" width="14.5703125" style="778" customWidth="1"/>
    <col min="12319" max="12319" width="10" style="778" customWidth="1"/>
    <col min="12320" max="12320" width="6.42578125" style="778" customWidth="1"/>
    <col min="12321" max="12321" width="12.42578125" style="778" customWidth="1"/>
    <col min="12322" max="12322" width="8.5703125" style="778" customWidth="1"/>
    <col min="12323" max="12323" width="13.5703125" style="778" customWidth="1"/>
    <col min="12324" max="12324" width="11.5703125" style="778" customWidth="1"/>
    <col min="12325" max="12325" width="34.42578125" style="778" customWidth="1"/>
    <col min="12326" max="12326" width="24.42578125" style="778" customWidth="1"/>
    <col min="12327" max="12327" width="21.140625" style="778" customWidth="1"/>
    <col min="12328" max="12328" width="22.140625" style="778" customWidth="1"/>
    <col min="12329" max="12329" width="8" style="778" customWidth="1"/>
    <col min="12330" max="12330" width="17" style="778" customWidth="1"/>
    <col min="12331" max="12331" width="12.5703125" style="778" customWidth="1"/>
    <col min="12332" max="12332" width="24.5703125" style="778" customWidth="1"/>
    <col min="12333" max="12333" width="29" style="778" customWidth="1"/>
    <col min="12334" max="12334" width="17.5703125" style="778" customWidth="1"/>
    <col min="12335" max="12335" width="36.42578125" style="778" customWidth="1"/>
    <col min="12336" max="12336" width="21.85546875" style="778" customWidth="1"/>
    <col min="12337" max="12337" width="11.5703125" style="778" customWidth="1"/>
    <col min="12338" max="12338" width="26.42578125" style="778" customWidth="1"/>
    <col min="12339" max="12339" width="9" style="778" customWidth="1"/>
    <col min="12340" max="12340" width="6.42578125" style="778" customWidth="1"/>
    <col min="12341" max="12342" width="7.42578125" style="778" customWidth="1"/>
    <col min="12343" max="12343" width="8.42578125" style="778" customWidth="1"/>
    <col min="12344" max="12344" width="9.5703125" style="778" customWidth="1"/>
    <col min="12345" max="12345" width="6.42578125" style="778" customWidth="1"/>
    <col min="12346" max="12346" width="5.85546875" style="778" customWidth="1"/>
    <col min="12347" max="12348" width="4.42578125" style="778" customWidth="1"/>
    <col min="12349" max="12349" width="5" style="778" customWidth="1"/>
    <col min="12350" max="12350" width="5.85546875" style="778" customWidth="1"/>
    <col min="12351" max="12351" width="6.140625" style="778" customWidth="1"/>
    <col min="12352" max="12352" width="6.42578125" style="778" customWidth="1"/>
    <col min="12353" max="12353" width="11.140625" style="778" customWidth="1"/>
    <col min="12354" max="12354" width="14.140625" style="778" customWidth="1"/>
    <col min="12355" max="12355" width="19.85546875" style="778" customWidth="1"/>
    <col min="12356" max="12356" width="17" style="778" customWidth="1"/>
    <col min="12357" max="12357" width="20.85546875" style="778" customWidth="1"/>
    <col min="12358" max="12570" width="11.42578125" style="778"/>
    <col min="12571" max="12571" width="13.140625" style="778" customWidth="1"/>
    <col min="12572" max="12572" width="4" style="778" customWidth="1"/>
    <col min="12573" max="12573" width="12.85546875" style="778" customWidth="1"/>
    <col min="12574" max="12574" width="14.5703125" style="778" customWidth="1"/>
    <col min="12575" max="12575" width="10" style="778" customWidth="1"/>
    <col min="12576" max="12576" width="6.42578125" style="778" customWidth="1"/>
    <col min="12577" max="12577" width="12.42578125" style="778" customWidth="1"/>
    <col min="12578" max="12578" width="8.5703125" style="778" customWidth="1"/>
    <col min="12579" max="12579" width="13.5703125" style="778" customWidth="1"/>
    <col min="12580" max="12580" width="11.5703125" style="778" customWidth="1"/>
    <col min="12581" max="12581" width="34.42578125" style="778" customWidth="1"/>
    <col min="12582" max="12582" width="24.42578125" style="778" customWidth="1"/>
    <col min="12583" max="12583" width="21.140625" style="778" customWidth="1"/>
    <col min="12584" max="12584" width="22.140625" style="778" customWidth="1"/>
    <col min="12585" max="12585" width="8" style="778" customWidth="1"/>
    <col min="12586" max="12586" width="17" style="778" customWidth="1"/>
    <col min="12587" max="12587" width="12.5703125" style="778" customWidth="1"/>
    <col min="12588" max="12588" width="24.5703125" style="778" customWidth="1"/>
    <col min="12589" max="12589" width="29" style="778" customWidth="1"/>
    <col min="12590" max="12590" width="17.5703125" style="778" customWidth="1"/>
    <col min="12591" max="12591" width="36.42578125" style="778" customWidth="1"/>
    <col min="12592" max="12592" width="21.85546875" style="778" customWidth="1"/>
    <col min="12593" max="12593" width="11.5703125" style="778" customWidth="1"/>
    <col min="12594" max="12594" width="26.42578125" style="778" customWidth="1"/>
    <col min="12595" max="12595" width="9" style="778" customWidth="1"/>
    <col min="12596" max="12596" width="6.42578125" style="778" customWidth="1"/>
    <col min="12597" max="12598" width="7.42578125" style="778" customWidth="1"/>
    <col min="12599" max="12599" width="8.42578125" style="778" customWidth="1"/>
    <col min="12600" max="12600" width="9.5703125" style="778" customWidth="1"/>
    <col min="12601" max="12601" width="6.42578125" style="778" customWidth="1"/>
    <col min="12602" max="12602" width="5.85546875" style="778" customWidth="1"/>
    <col min="12603" max="12604" width="4.42578125" style="778" customWidth="1"/>
    <col min="12605" max="12605" width="5" style="778" customWidth="1"/>
    <col min="12606" max="12606" width="5.85546875" style="778" customWidth="1"/>
    <col min="12607" max="12607" width="6.140625" style="778" customWidth="1"/>
    <col min="12608" max="12608" width="6.42578125" style="778" customWidth="1"/>
    <col min="12609" max="12609" width="11.140625" style="778" customWidth="1"/>
    <col min="12610" max="12610" width="14.140625" style="778" customWidth="1"/>
    <col min="12611" max="12611" width="19.85546875" style="778" customWidth="1"/>
    <col min="12612" max="12612" width="17" style="778" customWidth="1"/>
    <col min="12613" max="12613" width="20.85546875" style="778" customWidth="1"/>
    <col min="12614" max="12826" width="11.42578125" style="778"/>
    <col min="12827" max="12827" width="13.140625" style="778" customWidth="1"/>
    <col min="12828" max="12828" width="4" style="778" customWidth="1"/>
    <col min="12829" max="12829" width="12.85546875" style="778" customWidth="1"/>
    <col min="12830" max="12830" width="14.5703125" style="778" customWidth="1"/>
    <col min="12831" max="12831" width="10" style="778" customWidth="1"/>
    <col min="12832" max="12832" width="6.42578125" style="778" customWidth="1"/>
    <col min="12833" max="12833" width="12.42578125" style="778" customWidth="1"/>
    <col min="12834" max="12834" width="8.5703125" style="778" customWidth="1"/>
    <col min="12835" max="12835" width="13.5703125" style="778" customWidth="1"/>
    <col min="12836" max="12836" width="11.5703125" style="778" customWidth="1"/>
    <col min="12837" max="12837" width="34.42578125" style="778" customWidth="1"/>
    <col min="12838" max="12838" width="24.42578125" style="778" customWidth="1"/>
    <col min="12839" max="12839" width="21.140625" style="778" customWidth="1"/>
    <col min="12840" max="12840" width="22.140625" style="778" customWidth="1"/>
    <col min="12841" max="12841" width="8" style="778" customWidth="1"/>
    <col min="12842" max="12842" width="17" style="778" customWidth="1"/>
    <col min="12843" max="12843" width="12.5703125" style="778" customWidth="1"/>
    <col min="12844" max="12844" width="24.5703125" style="778" customWidth="1"/>
    <col min="12845" max="12845" width="29" style="778" customWidth="1"/>
    <col min="12846" max="12846" width="17.5703125" style="778" customWidth="1"/>
    <col min="12847" max="12847" width="36.42578125" style="778" customWidth="1"/>
    <col min="12848" max="12848" width="21.85546875" style="778" customWidth="1"/>
    <col min="12849" max="12849" width="11.5703125" style="778" customWidth="1"/>
    <col min="12850" max="12850" width="26.42578125" style="778" customWidth="1"/>
    <col min="12851" max="12851" width="9" style="778" customWidth="1"/>
    <col min="12852" max="12852" width="6.42578125" style="778" customWidth="1"/>
    <col min="12853" max="12854" width="7.42578125" style="778" customWidth="1"/>
    <col min="12855" max="12855" width="8.42578125" style="778" customWidth="1"/>
    <col min="12856" max="12856" width="9.5703125" style="778" customWidth="1"/>
    <col min="12857" max="12857" width="6.42578125" style="778" customWidth="1"/>
    <col min="12858" max="12858" width="5.85546875" style="778" customWidth="1"/>
    <col min="12859" max="12860" width="4.42578125" style="778" customWidth="1"/>
    <col min="12861" max="12861" width="5" style="778" customWidth="1"/>
    <col min="12862" max="12862" width="5.85546875" style="778" customWidth="1"/>
    <col min="12863" max="12863" width="6.140625" style="778" customWidth="1"/>
    <col min="12864" max="12864" width="6.42578125" style="778" customWidth="1"/>
    <col min="12865" max="12865" width="11.140625" style="778" customWidth="1"/>
    <col min="12866" max="12866" width="14.140625" style="778" customWidth="1"/>
    <col min="12867" max="12867" width="19.85546875" style="778" customWidth="1"/>
    <col min="12868" max="12868" width="17" style="778" customWidth="1"/>
    <col min="12869" max="12869" width="20.85546875" style="778" customWidth="1"/>
    <col min="12870" max="13082" width="11.42578125" style="778"/>
    <col min="13083" max="13083" width="13.140625" style="778" customWidth="1"/>
    <col min="13084" max="13084" width="4" style="778" customWidth="1"/>
    <col min="13085" max="13085" width="12.85546875" style="778" customWidth="1"/>
    <col min="13086" max="13086" width="14.5703125" style="778" customWidth="1"/>
    <col min="13087" max="13087" width="10" style="778" customWidth="1"/>
    <col min="13088" max="13088" width="6.42578125" style="778" customWidth="1"/>
    <col min="13089" max="13089" width="12.42578125" style="778" customWidth="1"/>
    <col min="13090" max="13090" width="8.5703125" style="778" customWidth="1"/>
    <col min="13091" max="13091" width="13.5703125" style="778" customWidth="1"/>
    <col min="13092" max="13092" width="11.5703125" style="778" customWidth="1"/>
    <col min="13093" max="13093" width="34.42578125" style="778" customWidth="1"/>
    <col min="13094" max="13094" width="24.42578125" style="778" customWidth="1"/>
    <col min="13095" max="13095" width="21.140625" style="778" customWidth="1"/>
    <col min="13096" max="13096" width="22.140625" style="778" customWidth="1"/>
    <col min="13097" max="13097" width="8" style="778" customWidth="1"/>
    <col min="13098" max="13098" width="17" style="778" customWidth="1"/>
    <col min="13099" max="13099" width="12.5703125" style="778" customWidth="1"/>
    <col min="13100" max="13100" width="24.5703125" style="778" customWidth="1"/>
    <col min="13101" max="13101" width="29" style="778" customWidth="1"/>
    <col min="13102" max="13102" width="17.5703125" style="778" customWidth="1"/>
    <col min="13103" max="13103" width="36.42578125" style="778" customWidth="1"/>
    <col min="13104" max="13104" width="21.85546875" style="778" customWidth="1"/>
    <col min="13105" max="13105" width="11.5703125" style="778" customWidth="1"/>
    <col min="13106" max="13106" width="26.42578125" style="778" customWidth="1"/>
    <col min="13107" max="13107" width="9" style="778" customWidth="1"/>
    <col min="13108" max="13108" width="6.42578125" style="778" customWidth="1"/>
    <col min="13109" max="13110" width="7.42578125" style="778" customWidth="1"/>
    <col min="13111" max="13111" width="8.42578125" style="778" customWidth="1"/>
    <col min="13112" max="13112" width="9.5703125" style="778" customWidth="1"/>
    <col min="13113" max="13113" width="6.42578125" style="778" customWidth="1"/>
    <col min="13114" max="13114" width="5.85546875" style="778" customWidth="1"/>
    <col min="13115" max="13116" width="4.42578125" style="778" customWidth="1"/>
    <col min="13117" max="13117" width="5" style="778" customWidth="1"/>
    <col min="13118" max="13118" width="5.85546875" style="778" customWidth="1"/>
    <col min="13119" max="13119" width="6.140625" style="778" customWidth="1"/>
    <col min="13120" max="13120" width="6.42578125" style="778" customWidth="1"/>
    <col min="13121" max="13121" width="11.140625" style="778" customWidth="1"/>
    <col min="13122" max="13122" width="14.140625" style="778" customWidth="1"/>
    <col min="13123" max="13123" width="19.85546875" style="778" customWidth="1"/>
    <col min="13124" max="13124" width="17" style="778" customWidth="1"/>
    <col min="13125" max="13125" width="20.85546875" style="778" customWidth="1"/>
    <col min="13126" max="13338" width="11.42578125" style="778"/>
    <col min="13339" max="13339" width="13.140625" style="778" customWidth="1"/>
    <col min="13340" max="13340" width="4" style="778" customWidth="1"/>
    <col min="13341" max="13341" width="12.85546875" style="778" customWidth="1"/>
    <col min="13342" max="13342" width="14.5703125" style="778" customWidth="1"/>
    <col min="13343" max="13343" width="10" style="778" customWidth="1"/>
    <col min="13344" max="13344" width="6.42578125" style="778" customWidth="1"/>
    <col min="13345" max="13345" width="12.42578125" style="778" customWidth="1"/>
    <col min="13346" max="13346" width="8.5703125" style="778" customWidth="1"/>
    <col min="13347" max="13347" width="13.5703125" style="778" customWidth="1"/>
    <col min="13348" max="13348" width="11.5703125" style="778" customWidth="1"/>
    <col min="13349" max="13349" width="34.42578125" style="778" customWidth="1"/>
    <col min="13350" max="13350" width="24.42578125" style="778" customWidth="1"/>
    <col min="13351" max="13351" width="21.140625" style="778" customWidth="1"/>
    <col min="13352" max="13352" width="22.140625" style="778" customWidth="1"/>
    <col min="13353" max="13353" width="8" style="778" customWidth="1"/>
    <col min="13354" max="13354" width="17" style="778" customWidth="1"/>
    <col min="13355" max="13355" width="12.5703125" style="778" customWidth="1"/>
    <col min="13356" max="13356" width="24.5703125" style="778" customWidth="1"/>
    <col min="13357" max="13357" width="29" style="778" customWidth="1"/>
    <col min="13358" max="13358" width="17.5703125" style="778" customWidth="1"/>
    <col min="13359" max="13359" width="36.42578125" style="778" customWidth="1"/>
    <col min="13360" max="13360" width="21.85546875" style="778" customWidth="1"/>
    <col min="13361" max="13361" width="11.5703125" style="778" customWidth="1"/>
    <col min="13362" max="13362" width="26.42578125" style="778" customWidth="1"/>
    <col min="13363" max="13363" width="9" style="778" customWidth="1"/>
    <col min="13364" max="13364" width="6.42578125" style="778" customWidth="1"/>
    <col min="13365" max="13366" width="7.42578125" style="778" customWidth="1"/>
    <col min="13367" max="13367" width="8.42578125" style="778" customWidth="1"/>
    <col min="13368" max="13368" width="9.5703125" style="778" customWidth="1"/>
    <col min="13369" max="13369" width="6.42578125" style="778" customWidth="1"/>
    <col min="13370" max="13370" width="5.85546875" style="778" customWidth="1"/>
    <col min="13371" max="13372" width="4.42578125" style="778" customWidth="1"/>
    <col min="13373" max="13373" width="5" style="778" customWidth="1"/>
    <col min="13374" max="13374" width="5.85546875" style="778" customWidth="1"/>
    <col min="13375" max="13375" width="6.140625" style="778" customWidth="1"/>
    <col min="13376" max="13376" width="6.42578125" style="778" customWidth="1"/>
    <col min="13377" max="13377" width="11.140625" style="778" customWidth="1"/>
    <col min="13378" max="13378" width="14.140625" style="778" customWidth="1"/>
    <col min="13379" max="13379" width="19.85546875" style="778" customWidth="1"/>
    <col min="13380" max="13380" width="17" style="778" customWidth="1"/>
    <col min="13381" max="13381" width="20.85546875" style="778" customWidth="1"/>
    <col min="13382" max="13594" width="11.42578125" style="778"/>
    <col min="13595" max="13595" width="13.140625" style="778" customWidth="1"/>
    <col min="13596" max="13596" width="4" style="778" customWidth="1"/>
    <col min="13597" max="13597" width="12.85546875" style="778" customWidth="1"/>
    <col min="13598" max="13598" width="14.5703125" style="778" customWidth="1"/>
    <col min="13599" max="13599" width="10" style="778" customWidth="1"/>
    <col min="13600" max="13600" width="6.42578125" style="778" customWidth="1"/>
    <col min="13601" max="13601" width="12.42578125" style="778" customWidth="1"/>
    <col min="13602" max="13602" width="8.5703125" style="778" customWidth="1"/>
    <col min="13603" max="13603" width="13.5703125" style="778" customWidth="1"/>
    <col min="13604" max="13604" width="11.5703125" style="778" customWidth="1"/>
    <col min="13605" max="13605" width="34.42578125" style="778" customWidth="1"/>
    <col min="13606" max="13606" width="24.42578125" style="778" customWidth="1"/>
    <col min="13607" max="13607" width="21.140625" style="778" customWidth="1"/>
    <col min="13608" max="13608" width="22.140625" style="778" customWidth="1"/>
    <col min="13609" max="13609" width="8" style="778" customWidth="1"/>
    <col min="13610" max="13610" width="17" style="778" customWidth="1"/>
    <col min="13611" max="13611" width="12.5703125" style="778" customWidth="1"/>
    <col min="13612" max="13612" width="24.5703125" style="778" customWidth="1"/>
    <col min="13613" max="13613" width="29" style="778" customWidth="1"/>
    <col min="13614" max="13614" width="17.5703125" style="778" customWidth="1"/>
    <col min="13615" max="13615" width="36.42578125" style="778" customWidth="1"/>
    <col min="13616" max="13616" width="21.85546875" style="778" customWidth="1"/>
    <col min="13617" max="13617" width="11.5703125" style="778" customWidth="1"/>
    <col min="13618" max="13618" width="26.42578125" style="778" customWidth="1"/>
    <col min="13619" max="13619" width="9" style="778" customWidth="1"/>
    <col min="13620" max="13620" width="6.42578125" style="778" customWidth="1"/>
    <col min="13621" max="13622" width="7.42578125" style="778" customWidth="1"/>
    <col min="13623" max="13623" width="8.42578125" style="778" customWidth="1"/>
    <col min="13624" max="13624" width="9.5703125" style="778" customWidth="1"/>
    <col min="13625" max="13625" width="6.42578125" style="778" customWidth="1"/>
    <col min="13626" max="13626" width="5.85546875" style="778" customWidth="1"/>
    <col min="13627" max="13628" width="4.42578125" style="778" customWidth="1"/>
    <col min="13629" max="13629" width="5" style="778" customWidth="1"/>
    <col min="13630" max="13630" width="5.85546875" style="778" customWidth="1"/>
    <col min="13631" max="13631" width="6.140625" style="778" customWidth="1"/>
    <col min="13632" max="13632" width="6.42578125" style="778" customWidth="1"/>
    <col min="13633" max="13633" width="11.140625" style="778" customWidth="1"/>
    <col min="13634" max="13634" width="14.140625" style="778" customWidth="1"/>
    <col min="13635" max="13635" width="19.85546875" style="778" customWidth="1"/>
    <col min="13636" max="13636" width="17" style="778" customWidth="1"/>
    <col min="13637" max="13637" width="20.85546875" style="778" customWidth="1"/>
    <col min="13638" max="13850" width="11.42578125" style="778"/>
    <col min="13851" max="13851" width="13.140625" style="778" customWidth="1"/>
    <col min="13852" max="13852" width="4" style="778" customWidth="1"/>
    <col min="13853" max="13853" width="12.85546875" style="778" customWidth="1"/>
    <col min="13854" max="13854" width="14.5703125" style="778" customWidth="1"/>
    <col min="13855" max="13855" width="10" style="778" customWidth="1"/>
    <col min="13856" max="13856" width="6.42578125" style="778" customWidth="1"/>
    <col min="13857" max="13857" width="12.42578125" style="778" customWidth="1"/>
    <col min="13858" max="13858" width="8.5703125" style="778" customWidth="1"/>
    <col min="13859" max="13859" width="13.5703125" style="778" customWidth="1"/>
    <col min="13860" max="13860" width="11.5703125" style="778" customWidth="1"/>
    <col min="13861" max="13861" width="34.42578125" style="778" customWidth="1"/>
    <col min="13862" max="13862" width="24.42578125" style="778" customWidth="1"/>
    <col min="13863" max="13863" width="21.140625" style="778" customWidth="1"/>
    <col min="13864" max="13864" width="22.140625" style="778" customWidth="1"/>
    <col min="13865" max="13865" width="8" style="778" customWidth="1"/>
    <col min="13866" max="13866" width="17" style="778" customWidth="1"/>
    <col min="13867" max="13867" width="12.5703125" style="778" customWidth="1"/>
    <col min="13868" max="13868" width="24.5703125" style="778" customWidth="1"/>
    <col min="13869" max="13869" width="29" style="778" customWidth="1"/>
    <col min="13870" max="13870" width="17.5703125" style="778" customWidth="1"/>
    <col min="13871" max="13871" width="36.42578125" style="778" customWidth="1"/>
    <col min="13872" max="13872" width="21.85546875" style="778" customWidth="1"/>
    <col min="13873" max="13873" width="11.5703125" style="778" customWidth="1"/>
    <col min="13874" max="13874" width="26.42578125" style="778" customWidth="1"/>
    <col min="13875" max="13875" width="9" style="778" customWidth="1"/>
    <col min="13876" max="13876" width="6.42578125" style="778" customWidth="1"/>
    <col min="13877" max="13878" width="7.42578125" style="778" customWidth="1"/>
    <col min="13879" max="13879" width="8.42578125" style="778" customWidth="1"/>
    <col min="13880" max="13880" width="9.5703125" style="778" customWidth="1"/>
    <col min="13881" max="13881" width="6.42578125" style="778" customWidth="1"/>
    <col min="13882" max="13882" width="5.85546875" style="778" customWidth="1"/>
    <col min="13883" max="13884" width="4.42578125" style="778" customWidth="1"/>
    <col min="13885" max="13885" width="5" style="778" customWidth="1"/>
    <col min="13886" max="13886" width="5.85546875" style="778" customWidth="1"/>
    <col min="13887" max="13887" width="6.140625" style="778" customWidth="1"/>
    <col min="13888" max="13888" width="6.42578125" style="778" customWidth="1"/>
    <col min="13889" max="13889" width="11.140625" style="778" customWidth="1"/>
    <col min="13890" max="13890" width="14.140625" style="778" customWidth="1"/>
    <col min="13891" max="13891" width="19.85546875" style="778" customWidth="1"/>
    <col min="13892" max="13892" width="17" style="778" customWidth="1"/>
    <col min="13893" max="13893" width="20.85546875" style="778" customWidth="1"/>
    <col min="13894" max="14106" width="11.42578125" style="778"/>
    <col min="14107" max="14107" width="13.140625" style="778" customWidth="1"/>
    <col min="14108" max="14108" width="4" style="778" customWidth="1"/>
    <col min="14109" max="14109" width="12.85546875" style="778" customWidth="1"/>
    <col min="14110" max="14110" width="14.5703125" style="778" customWidth="1"/>
    <col min="14111" max="14111" width="10" style="778" customWidth="1"/>
    <col min="14112" max="14112" width="6.42578125" style="778" customWidth="1"/>
    <col min="14113" max="14113" width="12.42578125" style="778" customWidth="1"/>
    <col min="14114" max="14114" width="8.5703125" style="778" customWidth="1"/>
    <col min="14115" max="14115" width="13.5703125" style="778" customWidth="1"/>
    <col min="14116" max="14116" width="11.5703125" style="778" customWidth="1"/>
    <col min="14117" max="14117" width="34.42578125" style="778" customWidth="1"/>
    <col min="14118" max="14118" width="24.42578125" style="778" customWidth="1"/>
    <col min="14119" max="14119" width="21.140625" style="778" customWidth="1"/>
    <col min="14120" max="14120" width="22.140625" style="778" customWidth="1"/>
    <col min="14121" max="14121" width="8" style="778" customWidth="1"/>
    <col min="14122" max="14122" width="17" style="778" customWidth="1"/>
    <col min="14123" max="14123" width="12.5703125" style="778" customWidth="1"/>
    <col min="14124" max="14124" width="24.5703125" style="778" customWidth="1"/>
    <col min="14125" max="14125" width="29" style="778" customWidth="1"/>
    <col min="14126" max="14126" width="17.5703125" style="778" customWidth="1"/>
    <col min="14127" max="14127" width="36.42578125" style="778" customWidth="1"/>
    <col min="14128" max="14128" width="21.85546875" style="778" customWidth="1"/>
    <col min="14129" max="14129" width="11.5703125" style="778" customWidth="1"/>
    <col min="14130" max="14130" width="26.42578125" style="778" customWidth="1"/>
    <col min="14131" max="14131" width="9" style="778" customWidth="1"/>
    <col min="14132" max="14132" width="6.42578125" style="778" customWidth="1"/>
    <col min="14133" max="14134" width="7.42578125" style="778" customWidth="1"/>
    <col min="14135" max="14135" width="8.42578125" style="778" customWidth="1"/>
    <col min="14136" max="14136" width="9.5703125" style="778" customWidth="1"/>
    <col min="14137" max="14137" width="6.42578125" style="778" customWidth="1"/>
    <col min="14138" max="14138" width="5.85546875" style="778" customWidth="1"/>
    <col min="14139" max="14140" width="4.42578125" style="778" customWidth="1"/>
    <col min="14141" max="14141" width="5" style="778" customWidth="1"/>
    <col min="14142" max="14142" width="5.85546875" style="778" customWidth="1"/>
    <col min="14143" max="14143" width="6.140625" style="778" customWidth="1"/>
    <col min="14144" max="14144" width="6.42578125" style="778" customWidth="1"/>
    <col min="14145" max="14145" width="11.140625" style="778" customWidth="1"/>
    <col min="14146" max="14146" width="14.140625" style="778" customWidth="1"/>
    <col min="14147" max="14147" width="19.85546875" style="778" customWidth="1"/>
    <col min="14148" max="14148" width="17" style="778" customWidth="1"/>
    <col min="14149" max="14149" width="20.85546875" style="778" customWidth="1"/>
    <col min="14150" max="14362" width="11.42578125" style="778"/>
    <col min="14363" max="14363" width="13.140625" style="778" customWidth="1"/>
    <col min="14364" max="14364" width="4" style="778" customWidth="1"/>
    <col min="14365" max="14365" width="12.85546875" style="778" customWidth="1"/>
    <col min="14366" max="14366" width="14.5703125" style="778" customWidth="1"/>
    <col min="14367" max="14367" width="10" style="778" customWidth="1"/>
    <col min="14368" max="14368" width="6.42578125" style="778" customWidth="1"/>
    <col min="14369" max="14369" width="12.42578125" style="778" customWidth="1"/>
    <col min="14370" max="14370" width="8.5703125" style="778" customWidth="1"/>
    <col min="14371" max="14371" width="13.5703125" style="778" customWidth="1"/>
    <col min="14372" max="14372" width="11.5703125" style="778" customWidth="1"/>
    <col min="14373" max="14373" width="34.42578125" style="778" customWidth="1"/>
    <col min="14374" max="14374" width="24.42578125" style="778" customWidth="1"/>
    <col min="14375" max="14375" width="21.140625" style="778" customWidth="1"/>
    <col min="14376" max="14376" width="22.140625" style="778" customWidth="1"/>
    <col min="14377" max="14377" width="8" style="778" customWidth="1"/>
    <col min="14378" max="14378" width="17" style="778" customWidth="1"/>
    <col min="14379" max="14379" width="12.5703125" style="778" customWidth="1"/>
    <col min="14380" max="14380" width="24.5703125" style="778" customWidth="1"/>
    <col min="14381" max="14381" width="29" style="778" customWidth="1"/>
    <col min="14382" max="14382" width="17.5703125" style="778" customWidth="1"/>
    <col min="14383" max="14383" width="36.42578125" style="778" customWidth="1"/>
    <col min="14384" max="14384" width="21.85546875" style="778" customWidth="1"/>
    <col min="14385" max="14385" width="11.5703125" style="778" customWidth="1"/>
    <col min="14386" max="14386" width="26.42578125" style="778" customWidth="1"/>
    <col min="14387" max="14387" width="9" style="778" customWidth="1"/>
    <col min="14388" max="14388" width="6.42578125" style="778" customWidth="1"/>
    <col min="14389" max="14390" width="7.42578125" style="778" customWidth="1"/>
    <col min="14391" max="14391" width="8.42578125" style="778" customWidth="1"/>
    <col min="14392" max="14392" width="9.5703125" style="778" customWidth="1"/>
    <col min="14393" max="14393" width="6.42578125" style="778" customWidth="1"/>
    <col min="14394" max="14394" width="5.85546875" style="778" customWidth="1"/>
    <col min="14395" max="14396" width="4.42578125" style="778" customWidth="1"/>
    <col min="14397" max="14397" width="5" style="778" customWidth="1"/>
    <col min="14398" max="14398" width="5.85546875" style="778" customWidth="1"/>
    <col min="14399" max="14399" width="6.140625" style="778" customWidth="1"/>
    <col min="14400" max="14400" width="6.42578125" style="778" customWidth="1"/>
    <col min="14401" max="14401" width="11.140625" style="778" customWidth="1"/>
    <col min="14402" max="14402" width="14.140625" style="778" customWidth="1"/>
    <col min="14403" max="14403" width="19.85546875" style="778" customWidth="1"/>
    <col min="14404" max="14404" width="17" style="778" customWidth="1"/>
    <col min="14405" max="14405" width="20.85546875" style="778" customWidth="1"/>
    <col min="14406" max="14618" width="11.42578125" style="778"/>
    <col min="14619" max="14619" width="13.140625" style="778" customWidth="1"/>
    <col min="14620" max="14620" width="4" style="778" customWidth="1"/>
    <col min="14621" max="14621" width="12.85546875" style="778" customWidth="1"/>
    <col min="14622" max="14622" width="14.5703125" style="778" customWidth="1"/>
    <col min="14623" max="14623" width="10" style="778" customWidth="1"/>
    <col min="14624" max="14624" width="6.42578125" style="778" customWidth="1"/>
    <col min="14625" max="14625" width="12.42578125" style="778" customWidth="1"/>
    <col min="14626" max="14626" width="8.5703125" style="778" customWidth="1"/>
    <col min="14627" max="14627" width="13.5703125" style="778" customWidth="1"/>
    <col min="14628" max="14628" width="11.5703125" style="778" customWidth="1"/>
    <col min="14629" max="14629" width="34.42578125" style="778" customWidth="1"/>
    <col min="14630" max="14630" width="24.42578125" style="778" customWidth="1"/>
    <col min="14631" max="14631" width="21.140625" style="778" customWidth="1"/>
    <col min="14632" max="14632" width="22.140625" style="778" customWidth="1"/>
    <col min="14633" max="14633" width="8" style="778" customWidth="1"/>
    <col min="14634" max="14634" width="17" style="778" customWidth="1"/>
    <col min="14635" max="14635" width="12.5703125" style="778" customWidth="1"/>
    <col min="14636" max="14636" width="24.5703125" style="778" customWidth="1"/>
    <col min="14637" max="14637" width="29" style="778" customWidth="1"/>
    <col min="14638" max="14638" width="17.5703125" style="778" customWidth="1"/>
    <col min="14639" max="14639" width="36.42578125" style="778" customWidth="1"/>
    <col min="14640" max="14640" width="21.85546875" style="778" customWidth="1"/>
    <col min="14641" max="14641" width="11.5703125" style="778" customWidth="1"/>
    <col min="14642" max="14642" width="26.42578125" style="778" customWidth="1"/>
    <col min="14643" max="14643" width="9" style="778" customWidth="1"/>
    <col min="14644" max="14644" width="6.42578125" style="778" customWidth="1"/>
    <col min="14645" max="14646" width="7.42578125" style="778" customWidth="1"/>
    <col min="14647" max="14647" width="8.42578125" style="778" customWidth="1"/>
    <col min="14648" max="14648" width="9.5703125" style="778" customWidth="1"/>
    <col min="14649" max="14649" width="6.42578125" style="778" customWidth="1"/>
    <col min="14650" max="14650" width="5.85546875" style="778" customWidth="1"/>
    <col min="14651" max="14652" width="4.42578125" style="778" customWidth="1"/>
    <col min="14653" max="14653" width="5" style="778" customWidth="1"/>
    <col min="14654" max="14654" width="5.85546875" style="778" customWidth="1"/>
    <col min="14655" max="14655" width="6.140625" style="778" customWidth="1"/>
    <col min="14656" max="14656" width="6.42578125" style="778" customWidth="1"/>
    <col min="14657" max="14657" width="11.140625" style="778" customWidth="1"/>
    <col min="14658" max="14658" width="14.140625" style="778" customWidth="1"/>
    <col min="14659" max="14659" width="19.85546875" style="778" customWidth="1"/>
    <col min="14660" max="14660" width="17" style="778" customWidth="1"/>
    <col min="14661" max="14661" width="20.85546875" style="778" customWidth="1"/>
    <col min="14662" max="14874" width="11.42578125" style="778"/>
    <col min="14875" max="14875" width="13.140625" style="778" customWidth="1"/>
    <col min="14876" max="14876" width="4" style="778" customWidth="1"/>
    <col min="14877" max="14877" width="12.85546875" style="778" customWidth="1"/>
    <col min="14878" max="14878" width="14.5703125" style="778" customWidth="1"/>
    <col min="14879" max="14879" width="10" style="778" customWidth="1"/>
    <col min="14880" max="14880" width="6.42578125" style="778" customWidth="1"/>
    <col min="14881" max="14881" width="12.42578125" style="778" customWidth="1"/>
    <col min="14882" max="14882" width="8.5703125" style="778" customWidth="1"/>
    <col min="14883" max="14883" width="13.5703125" style="778" customWidth="1"/>
    <col min="14884" max="14884" width="11.5703125" style="778" customWidth="1"/>
    <col min="14885" max="14885" width="34.42578125" style="778" customWidth="1"/>
    <col min="14886" max="14886" width="24.42578125" style="778" customWidth="1"/>
    <col min="14887" max="14887" width="21.140625" style="778" customWidth="1"/>
    <col min="14888" max="14888" width="22.140625" style="778" customWidth="1"/>
    <col min="14889" max="14889" width="8" style="778" customWidth="1"/>
    <col min="14890" max="14890" width="17" style="778" customWidth="1"/>
    <col min="14891" max="14891" width="12.5703125" style="778" customWidth="1"/>
    <col min="14892" max="14892" width="24.5703125" style="778" customWidth="1"/>
    <col min="14893" max="14893" width="29" style="778" customWidth="1"/>
    <col min="14894" max="14894" width="17.5703125" style="778" customWidth="1"/>
    <col min="14895" max="14895" width="36.42578125" style="778" customWidth="1"/>
    <col min="14896" max="14896" width="21.85546875" style="778" customWidth="1"/>
    <col min="14897" max="14897" width="11.5703125" style="778" customWidth="1"/>
    <col min="14898" max="14898" width="26.42578125" style="778" customWidth="1"/>
    <col min="14899" max="14899" width="9" style="778" customWidth="1"/>
    <col min="14900" max="14900" width="6.42578125" style="778" customWidth="1"/>
    <col min="14901" max="14902" width="7.42578125" style="778" customWidth="1"/>
    <col min="14903" max="14903" width="8.42578125" style="778" customWidth="1"/>
    <col min="14904" max="14904" width="9.5703125" style="778" customWidth="1"/>
    <col min="14905" max="14905" width="6.42578125" style="778" customWidth="1"/>
    <col min="14906" max="14906" width="5.85546875" style="778" customWidth="1"/>
    <col min="14907" max="14908" width="4.42578125" style="778" customWidth="1"/>
    <col min="14909" max="14909" width="5" style="778" customWidth="1"/>
    <col min="14910" max="14910" width="5.85546875" style="778" customWidth="1"/>
    <col min="14911" max="14911" width="6.140625" style="778" customWidth="1"/>
    <col min="14912" max="14912" width="6.42578125" style="778" customWidth="1"/>
    <col min="14913" max="14913" width="11.140625" style="778" customWidth="1"/>
    <col min="14914" max="14914" width="14.140625" style="778" customWidth="1"/>
    <col min="14915" max="14915" width="19.85546875" style="778" customWidth="1"/>
    <col min="14916" max="14916" width="17" style="778" customWidth="1"/>
    <col min="14917" max="14917" width="20.85546875" style="778" customWidth="1"/>
    <col min="14918" max="15130" width="11.42578125" style="778"/>
    <col min="15131" max="15131" width="13.140625" style="778" customWidth="1"/>
    <col min="15132" max="15132" width="4" style="778" customWidth="1"/>
    <col min="15133" max="15133" width="12.85546875" style="778" customWidth="1"/>
    <col min="15134" max="15134" width="14.5703125" style="778" customWidth="1"/>
    <col min="15135" max="15135" width="10" style="778" customWidth="1"/>
    <col min="15136" max="15136" width="6.42578125" style="778" customWidth="1"/>
    <col min="15137" max="15137" width="12.42578125" style="778" customWidth="1"/>
    <col min="15138" max="15138" width="8.5703125" style="778" customWidth="1"/>
    <col min="15139" max="15139" width="13.5703125" style="778" customWidth="1"/>
    <col min="15140" max="15140" width="11.5703125" style="778" customWidth="1"/>
    <col min="15141" max="15141" width="34.42578125" style="778" customWidth="1"/>
    <col min="15142" max="15142" width="24.42578125" style="778" customWidth="1"/>
    <col min="15143" max="15143" width="21.140625" style="778" customWidth="1"/>
    <col min="15144" max="15144" width="22.140625" style="778" customWidth="1"/>
    <col min="15145" max="15145" width="8" style="778" customWidth="1"/>
    <col min="15146" max="15146" width="17" style="778" customWidth="1"/>
    <col min="15147" max="15147" width="12.5703125" style="778" customWidth="1"/>
    <col min="15148" max="15148" width="24.5703125" style="778" customWidth="1"/>
    <col min="15149" max="15149" width="29" style="778" customWidth="1"/>
    <col min="15150" max="15150" width="17.5703125" style="778" customWidth="1"/>
    <col min="15151" max="15151" width="36.42578125" style="778" customWidth="1"/>
    <col min="15152" max="15152" width="21.85546875" style="778" customWidth="1"/>
    <col min="15153" max="15153" width="11.5703125" style="778" customWidth="1"/>
    <col min="15154" max="15154" width="26.42578125" style="778" customWidth="1"/>
    <col min="15155" max="15155" width="9" style="778" customWidth="1"/>
    <col min="15156" max="15156" width="6.42578125" style="778" customWidth="1"/>
    <col min="15157" max="15158" width="7.42578125" style="778" customWidth="1"/>
    <col min="15159" max="15159" width="8.42578125" style="778" customWidth="1"/>
    <col min="15160" max="15160" width="9.5703125" style="778" customWidth="1"/>
    <col min="15161" max="15161" width="6.42578125" style="778" customWidth="1"/>
    <col min="15162" max="15162" width="5.85546875" style="778" customWidth="1"/>
    <col min="15163" max="15164" width="4.42578125" style="778" customWidth="1"/>
    <col min="15165" max="15165" width="5" style="778" customWidth="1"/>
    <col min="15166" max="15166" width="5.85546875" style="778" customWidth="1"/>
    <col min="15167" max="15167" width="6.140625" style="778" customWidth="1"/>
    <col min="15168" max="15168" width="6.42578125" style="778" customWidth="1"/>
    <col min="15169" max="15169" width="11.140625" style="778" customWidth="1"/>
    <col min="15170" max="15170" width="14.140625" style="778" customWidth="1"/>
    <col min="15171" max="15171" width="19.85546875" style="778" customWidth="1"/>
    <col min="15172" max="15172" width="17" style="778" customWidth="1"/>
    <col min="15173" max="15173" width="20.85546875" style="778" customWidth="1"/>
    <col min="15174" max="15386" width="11.42578125" style="778"/>
    <col min="15387" max="15387" width="13.140625" style="778" customWidth="1"/>
    <col min="15388" max="15388" width="4" style="778" customWidth="1"/>
    <col min="15389" max="15389" width="12.85546875" style="778" customWidth="1"/>
    <col min="15390" max="15390" width="14.5703125" style="778" customWidth="1"/>
    <col min="15391" max="15391" width="10" style="778" customWidth="1"/>
    <col min="15392" max="15392" width="6.42578125" style="778" customWidth="1"/>
    <col min="15393" max="15393" width="12.42578125" style="778" customWidth="1"/>
    <col min="15394" max="15394" width="8.5703125" style="778" customWidth="1"/>
    <col min="15395" max="15395" width="13.5703125" style="778" customWidth="1"/>
    <col min="15396" max="15396" width="11.5703125" style="778" customWidth="1"/>
    <col min="15397" max="15397" width="34.42578125" style="778" customWidth="1"/>
    <col min="15398" max="15398" width="24.42578125" style="778" customWidth="1"/>
    <col min="15399" max="15399" width="21.140625" style="778" customWidth="1"/>
    <col min="15400" max="15400" width="22.140625" style="778" customWidth="1"/>
    <col min="15401" max="15401" width="8" style="778" customWidth="1"/>
    <col min="15402" max="15402" width="17" style="778" customWidth="1"/>
    <col min="15403" max="15403" width="12.5703125" style="778" customWidth="1"/>
    <col min="15404" max="15404" width="24.5703125" style="778" customWidth="1"/>
    <col min="15405" max="15405" width="29" style="778" customWidth="1"/>
    <col min="15406" max="15406" width="17.5703125" style="778" customWidth="1"/>
    <col min="15407" max="15407" width="36.42578125" style="778" customWidth="1"/>
    <col min="15408" max="15408" width="21.85546875" style="778" customWidth="1"/>
    <col min="15409" max="15409" width="11.5703125" style="778" customWidth="1"/>
    <col min="15410" max="15410" width="26.42578125" style="778" customWidth="1"/>
    <col min="15411" max="15411" width="9" style="778" customWidth="1"/>
    <col min="15412" max="15412" width="6.42578125" style="778" customWidth="1"/>
    <col min="15413" max="15414" width="7.42578125" style="778" customWidth="1"/>
    <col min="15415" max="15415" width="8.42578125" style="778" customWidth="1"/>
    <col min="15416" max="15416" width="9.5703125" style="778" customWidth="1"/>
    <col min="15417" max="15417" width="6.42578125" style="778" customWidth="1"/>
    <col min="15418" max="15418" width="5.85546875" style="778" customWidth="1"/>
    <col min="15419" max="15420" width="4.42578125" style="778" customWidth="1"/>
    <col min="15421" max="15421" width="5" style="778" customWidth="1"/>
    <col min="15422" max="15422" width="5.85546875" style="778" customWidth="1"/>
    <col min="15423" max="15423" width="6.140625" style="778" customWidth="1"/>
    <col min="15424" max="15424" width="6.42578125" style="778" customWidth="1"/>
    <col min="15425" max="15425" width="11.140625" style="778" customWidth="1"/>
    <col min="15426" max="15426" width="14.140625" style="778" customWidth="1"/>
    <col min="15427" max="15427" width="19.85546875" style="778" customWidth="1"/>
    <col min="15428" max="15428" width="17" style="778" customWidth="1"/>
    <col min="15429" max="15429" width="20.85546875" style="778" customWidth="1"/>
    <col min="15430" max="15642" width="11.42578125" style="778"/>
    <col min="15643" max="15643" width="13.140625" style="778" customWidth="1"/>
    <col min="15644" max="15644" width="4" style="778" customWidth="1"/>
    <col min="15645" max="15645" width="12.85546875" style="778" customWidth="1"/>
    <col min="15646" max="15646" width="14.5703125" style="778" customWidth="1"/>
    <col min="15647" max="15647" width="10" style="778" customWidth="1"/>
    <col min="15648" max="15648" width="6.42578125" style="778" customWidth="1"/>
    <col min="15649" max="15649" width="12.42578125" style="778" customWidth="1"/>
    <col min="15650" max="15650" width="8.5703125" style="778" customWidth="1"/>
    <col min="15651" max="15651" width="13.5703125" style="778" customWidth="1"/>
    <col min="15652" max="15652" width="11.5703125" style="778" customWidth="1"/>
    <col min="15653" max="15653" width="34.42578125" style="778" customWidth="1"/>
    <col min="15654" max="15654" width="24.42578125" style="778" customWidth="1"/>
    <col min="15655" max="15655" width="21.140625" style="778" customWidth="1"/>
    <col min="15656" max="15656" width="22.140625" style="778" customWidth="1"/>
    <col min="15657" max="15657" width="8" style="778" customWidth="1"/>
    <col min="15658" max="15658" width="17" style="778" customWidth="1"/>
    <col min="15659" max="15659" width="12.5703125" style="778" customWidth="1"/>
    <col min="15660" max="15660" width="24.5703125" style="778" customWidth="1"/>
    <col min="15661" max="15661" width="29" style="778" customWidth="1"/>
    <col min="15662" max="15662" width="17.5703125" style="778" customWidth="1"/>
    <col min="15663" max="15663" width="36.42578125" style="778" customWidth="1"/>
    <col min="15664" max="15664" width="21.85546875" style="778" customWidth="1"/>
    <col min="15665" max="15665" width="11.5703125" style="778" customWidth="1"/>
    <col min="15666" max="15666" width="26.42578125" style="778" customWidth="1"/>
    <col min="15667" max="15667" width="9" style="778" customWidth="1"/>
    <col min="15668" max="15668" width="6.42578125" style="778" customWidth="1"/>
    <col min="15669" max="15670" width="7.42578125" style="778" customWidth="1"/>
    <col min="15671" max="15671" width="8.42578125" style="778" customWidth="1"/>
    <col min="15672" max="15672" width="9.5703125" style="778" customWidth="1"/>
    <col min="15673" max="15673" width="6.42578125" style="778" customWidth="1"/>
    <col min="15674" max="15674" width="5.85546875" style="778" customWidth="1"/>
    <col min="15675" max="15676" width="4.42578125" style="778" customWidth="1"/>
    <col min="15677" max="15677" width="5" style="778" customWidth="1"/>
    <col min="15678" max="15678" width="5.85546875" style="778" customWidth="1"/>
    <col min="15679" max="15679" width="6.140625" style="778" customWidth="1"/>
    <col min="15680" max="15680" width="6.42578125" style="778" customWidth="1"/>
    <col min="15681" max="15681" width="11.140625" style="778" customWidth="1"/>
    <col min="15682" max="15682" width="14.140625" style="778" customWidth="1"/>
    <col min="15683" max="15683" width="19.85546875" style="778" customWidth="1"/>
    <col min="15684" max="15684" width="17" style="778" customWidth="1"/>
    <col min="15685" max="15685" width="20.85546875" style="778" customWidth="1"/>
    <col min="15686" max="15898" width="11.42578125" style="778"/>
    <col min="15899" max="15899" width="13.140625" style="778" customWidth="1"/>
    <col min="15900" max="15900" width="4" style="778" customWidth="1"/>
    <col min="15901" max="15901" width="12.85546875" style="778" customWidth="1"/>
    <col min="15902" max="15902" width="14.5703125" style="778" customWidth="1"/>
    <col min="15903" max="15903" width="10" style="778" customWidth="1"/>
    <col min="15904" max="15904" width="6.42578125" style="778" customWidth="1"/>
    <col min="15905" max="15905" width="12.42578125" style="778" customWidth="1"/>
    <col min="15906" max="15906" width="8.5703125" style="778" customWidth="1"/>
    <col min="15907" max="15907" width="13.5703125" style="778" customWidth="1"/>
    <col min="15908" max="15908" width="11.5703125" style="778" customWidth="1"/>
    <col min="15909" max="15909" width="34.42578125" style="778" customWidth="1"/>
    <col min="15910" max="15910" width="24.42578125" style="778" customWidth="1"/>
    <col min="15911" max="15911" width="21.140625" style="778" customWidth="1"/>
    <col min="15912" max="15912" width="22.140625" style="778" customWidth="1"/>
    <col min="15913" max="15913" width="8" style="778" customWidth="1"/>
    <col min="15914" max="15914" width="17" style="778" customWidth="1"/>
    <col min="15915" max="15915" width="12.5703125" style="778" customWidth="1"/>
    <col min="15916" max="15916" width="24.5703125" style="778" customWidth="1"/>
    <col min="15917" max="15917" width="29" style="778" customWidth="1"/>
    <col min="15918" max="15918" width="17.5703125" style="778" customWidth="1"/>
    <col min="15919" max="15919" width="36.42578125" style="778" customWidth="1"/>
    <col min="15920" max="15920" width="21.85546875" style="778" customWidth="1"/>
    <col min="15921" max="15921" width="11.5703125" style="778" customWidth="1"/>
    <col min="15922" max="15922" width="26.42578125" style="778" customWidth="1"/>
    <col min="15923" max="15923" width="9" style="778" customWidth="1"/>
    <col min="15924" max="15924" width="6.42578125" style="778" customWidth="1"/>
    <col min="15925" max="15926" width="7.42578125" style="778" customWidth="1"/>
    <col min="15927" max="15927" width="8.42578125" style="778" customWidth="1"/>
    <col min="15928" max="15928" width="9.5703125" style="778" customWidth="1"/>
    <col min="15929" max="15929" width="6.42578125" style="778" customWidth="1"/>
    <col min="15930" max="15930" width="5.85546875" style="778" customWidth="1"/>
    <col min="15931" max="15932" width="4.42578125" style="778" customWidth="1"/>
    <col min="15933" max="15933" width="5" style="778" customWidth="1"/>
    <col min="15934" max="15934" width="5.85546875" style="778" customWidth="1"/>
    <col min="15935" max="15935" width="6.140625" style="778" customWidth="1"/>
    <col min="15936" max="15936" width="6.42578125" style="778" customWidth="1"/>
    <col min="15937" max="15937" width="11.140625" style="778" customWidth="1"/>
    <col min="15938" max="15938" width="14.140625" style="778" customWidth="1"/>
    <col min="15939" max="15939" width="19.85546875" style="778" customWidth="1"/>
    <col min="15940" max="15940" width="17" style="778" customWidth="1"/>
    <col min="15941" max="15941" width="20.85546875" style="778" customWidth="1"/>
    <col min="15942" max="16154" width="11.42578125" style="778"/>
    <col min="16155" max="16155" width="13.140625" style="778" customWidth="1"/>
    <col min="16156" max="16156" width="4" style="778" customWidth="1"/>
    <col min="16157" max="16157" width="12.85546875" style="778" customWidth="1"/>
    <col min="16158" max="16158" width="14.5703125" style="778" customWidth="1"/>
    <col min="16159" max="16159" width="10" style="778" customWidth="1"/>
    <col min="16160" max="16160" width="6.42578125" style="778" customWidth="1"/>
    <col min="16161" max="16161" width="12.42578125" style="778" customWidth="1"/>
    <col min="16162" max="16162" width="8.5703125" style="778" customWidth="1"/>
    <col min="16163" max="16163" width="13.5703125" style="778" customWidth="1"/>
    <col min="16164" max="16164" width="11.5703125" style="778" customWidth="1"/>
    <col min="16165" max="16165" width="34.42578125" style="778" customWidth="1"/>
    <col min="16166" max="16166" width="24.42578125" style="778" customWidth="1"/>
    <col min="16167" max="16167" width="21.140625" style="778" customWidth="1"/>
    <col min="16168" max="16168" width="22.140625" style="778" customWidth="1"/>
    <col min="16169" max="16169" width="8" style="778" customWidth="1"/>
    <col min="16170" max="16170" width="17" style="778" customWidth="1"/>
    <col min="16171" max="16171" width="12.5703125" style="778" customWidth="1"/>
    <col min="16172" max="16172" width="24.5703125" style="778" customWidth="1"/>
    <col min="16173" max="16173" width="29" style="778" customWidth="1"/>
    <col min="16174" max="16174" width="17.5703125" style="778" customWidth="1"/>
    <col min="16175" max="16175" width="36.42578125" style="778" customWidth="1"/>
    <col min="16176" max="16176" width="21.85546875" style="778" customWidth="1"/>
    <col min="16177" max="16177" width="11.5703125" style="778" customWidth="1"/>
    <col min="16178" max="16178" width="26.42578125" style="778" customWidth="1"/>
    <col min="16179" max="16179" width="9" style="778" customWidth="1"/>
    <col min="16180" max="16180" width="6.42578125" style="778" customWidth="1"/>
    <col min="16181" max="16182" width="7.42578125" style="778" customWidth="1"/>
    <col min="16183" max="16183" width="8.42578125" style="778" customWidth="1"/>
    <col min="16184" max="16184" width="9.5703125" style="778" customWidth="1"/>
    <col min="16185" max="16185" width="6.42578125" style="778" customWidth="1"/>
    <col min="16186" max="16186" width="5.85546875" style="778" customWidth="1"/>
    <col min="16187" max="16188" width="4.42578125" style="778" customWidth="1"/>
    <col min="16189" max="16189" width="5" style="778" customWidth="1"/>
    <col min="16190" max="16190" width="5.85546875" style="778" customWidth="1"/>
    <col min="16191" max="16191" width="6.140625" style="778" customWidth="1"/>
    <col min="16192" max="16192" width="6.42578125" style="778" customWidth="1"/>
    <col min="16193" max="16193" width="11.140625" style="778" customWidth="1"/>
    <col min="16194" max="16194" width="14.140625" style="778" customWidth="1"/>
    <col min="16195" max="16195" width="19.85546875" style="778" customWidth="1"/>
    <col min="16196" max="16196" width="17" style="778" customWidth="1"/>
    <col min="16197" max="16197" width="20.85546875" style="778" customWidth="1"/>
    <col min="16198" max="16384" width="11.42578125" style="778"/>
  </cols>
  <sheetData>
    <row r="1" spans="1:89" ht="21" customHeight="1">
      <c r="A1" s="1275" t="s">
        <v>934</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c r="AM1" s="1276"/>
      <c r="AN1" s="1276"/>
      <c r="AO1" s="1276"/>
      <c r="AP1" s="1276"/>
      <c r="AQ1" s="1276"/>
      <c r="AR1" s="1276"/>
      <c r="AS1" s="1276"/>
      <c r="AT1" s="1276"/>
      <c r="AU1" s="1276"/>
      <c r="AV1" s="1276"/>
      <c r="AW1" s="1276"/>
      <c r="AX1" s="1276"/>
      <c r="AY1" s="1276"/>
      <c r="AZ1" s="1276"/>
      <c r="BA1" s="1276"/>
      <c r="BB1" s="1276"/>
      <c r="BC1" s="1276"/>
      <c r="BD1" s="1276"/>
      <c r="BE1" s="1276"/>
      <c r="BF1" s="1276"/>
      <c r="BG1" s="1276"/>
      <c r="BH1" s="1276"/>
      <c r="BI1" s="1276"/>
      <c r="BJ1" s="1276"/>
      <c r="BK1" s="1276"/>
      <c r="BL1" s="1276"/>
      <c r="BM1" s="1276"/>
      <c r="BN1" s="1276"/>
      <c r="BO1" s="1276"/>
      <c r="BP1" s="1277"/>
      <c r="BQ1" s="1023" t="s">
        <v>43</v>
      </c>
      <c r="BR1" s="1022" t="s">
        <v>904</v>
      </c>
    </row>
    <row r="2" spans="1:89" ht="21" customHeight="1">
      <c r="A2" s="1275"/>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6"/>
      <c r="BC2" s="1276"/>
      <c r="BD2" s="1276"/>
      <c r="BE2" s="1276"/>
      <c r="BF2" s="1276"/>
      <c r="BG2" s="1276"/>
      <c r="BH2" s="1276"/>
      <c r="BI2" s="1276"/>
      <c r="BJ2" s="1276"/>
      <c r="BK2" s="1276"/>
      <c r="BL2" s="1276"/>
      <c r="BM2" s="1276"/>
      <c r="BN2" s="1276"/>
      <c r="BO2" s="1276"/>
      <c r="BP2" s="1277"/>
      <c r="BQ2" s="952" t="s">
        <v>45</v>
      </c>
      <c r="BR2" s="1021">
        <v>6</v>
      </c>
    </row>
    <row r="3" spans="1:89" ht="21" customHeight="1">
      <c r="A3" s="1275"/>
      <c r="B3" s="1276"/>
      <c r="C3" s="1276"/>
      <c r="D3" s="1276"/>
      <c r="E3" s="1276"/>
      <c r="F3" s="1276"/>
      <c r="G3" s="1276"/>
      <c r="H3" s="1276"/>
      <c r="I3" s="1276"/>
      <c r="J3" s="1276"/>
      <c r="K3" s="1276"/>
      <c r="L3" s="1276"/>
      <c r="M3" s="1276"/>
      <c r="N3" s="1276"/>
      <c r="O3" s="1276"/>
      <c r="P3" s="1276"/>
      <c r="Q3" s="1276"/>
      <c r="R3" s="1276"/>
      <c r="S3" s="1276"/>
      <c r="T3" s="1276"/>
      <c r="U3" s="1276"/>
      <c r="V3" s="1276"/>
      <c r="W3" s="1276"/>
      <c r="X3" s="1276"/>
      <c r="Y3" s="1276"/>
      <c r="Z3" s="1276"/>
      <c r="AA3" s="1276"/>
      <c r="AB3" s="1276"/>
      <c r="AC3" s="1276"/>
      <c r="AD3" s="1276"/>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6"/>
      <c r="BC3" s="1276"/>
      <c r="BD3" s="1276"/>
      <c r="BE3" s="1276"/>
      <c r="BF3" s="1276"/>
      <c r="BG3" s="1276"/>
      <c r="BH3" s="1276"/>
      <c r="BI3" s="1276"/>
      <c r="BJ3" s="1276"/>
      <c r="BK3" s="1276"/>
      <c r="BL3" s="1276"/>
      <c r="BM3" s="1276"/>
      <c r="BN3" s="1276"/>
      <c r="BO3" s="1276"/>
      <c r="BP3" s="1277"/>
      <c r="BQ3" s="951" t="s">
        <v>46</v>
      </c>
      <c r="BR3" s="1020" t="s">
        <v>766</v>
      </c>
    </row>
    <row r="4" spans="1:89" s="953" customFormat="1" ht="21" customHeight="1">
      <c r="A4" s="1278"/>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80"/>
      <c r="BQ4" s="954" t="s">
        <v>48</v>
      </c>
      <c r="BR4" s="1019" t="s">
        <v>905</v>
      </c>
    </row>
    <row r="5" spans="1:89" ht="21" customHeight="1">
      <c r="A5" s="1344" t="s">
        <v>767</v>
      </c>
      <c r="B5" s="1345"/>
      <c r="C5" s="1345"/>
      <c r="D5" s="1345"/>
      <c r="E5" s="1345"/>
      <c r="F5" s="1345"/>
      <c r="G5" s="1345"/>
      <c r="H5" s="1345"/>
      <c r="I5" s="1345"/>
      <c r="J5" s="1345"/>
      <c r="K5" s="1345"/>
      <c r="L5" s="1345"/>
      <c r="M5" s="1345"/>
      <c r="N5" s="1346"/>
      <c r="O5" s="1281" t="s">
        <v>775</v>
      </c>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c r="AM5" s="1282"/>
      <c r="AN5" s="1282"/>
      <c r="AO5" s="1282"/>
      <c r="AP5" s="1282"/>
      <c r="AQ5" s="1282"/>
      <c r="AR5" s="1282"/>
      <c r="AS5" s="1282"/>
      <c r="AT5" s="1282"/>
      <c r="AU5" s="1282"/>
      <c r="AV5" s="1282"/>
      <c r="AW5" s="1282"/>
      <c r="AX5" s="1282"/>
      <c r="AY5" s="1282"/>
      <c r="AZ5" s="1282"/>
      <c r="BA5" s="1282"/>
      <c r="BB5" s="1282"/>
      <c r="BC5" s="1282"/>
      <c r="BD5" s="1282"/>
      <c r="BE5" s="1282"/>
      <c r="BF5" s="1282"/>
      <c r="BG5" s="1282"/>
      <c r="BH5" s="1282"/>
      <c r="BI5" s="1282"/>
      <c r="BJ5" s="1282"/>
      <c r="BK5" s="1282"/>
      <c r="BL5" s="1282"/>
      <c r="BM5" s="1282"/>
      <c r="BN5" s="1282"/>
      <c r="BO5" s="1282"/>
      <c r="BP5" s="1282"/>
      <c r="BQ5" s="1282"/>
      <c r="BR5" s="1283"/>
    </row>
    <row r="6" spans="1:89" ht="21" customHeight="1" thickBot="1">
      <c r="A6" s="1347"/>
      <c r="B6" s="1348"/>
      <c r="C6" s="1348"/>
      <c r="D6" s="1348"/>
      <c r="E6" s="1348"/>
      <c r="F6" s="1348"/>
      <c r="G6" s="1348"/>
      <c r="H6" s="1348"/>
      <c r="I6" s="1348"/>
      <c r="J6" s="1348"/>
      <c r="K6" s="1348"/>
      <c r="L6" s="1348"/>
      <c r="M6" s="1348"/>
      <c r="N6" s="1349"/>
      <c r="O6" s="1281"/>
      <c r="P6" s="1282"/>
      <c r="Q6" s="1282"/>
      <c r="R6" s="1282"/>
      <c r="S6" s="1282"/>
      <c r="T6" s="1282"/>
      <c r="U6" s="1282"/>
      <c r="V6" s="1282"/>
      <c r="W6" s="1282"/>
      <c r="X6" s="1282"/>
      <c r="Y6" s="1282"/>
      <c r="Z6" s="1282"/>
      <c r="AA6" s="1284"/>
      <c r="AB6" s="1017"/>
      <c r="AC6" s="1017"/>
      <c r="AD6" s="1017"/>
      <c r="AE6" s="1017"/>
      <c r="AF6" s="1017"/>
      <c r="AG6" s="1017"/>
      <c r="AH6" s="1017"/>
      <c r="AI6" s="1017"/>
      <c r="AJ6" s="1017"/>
      <c r="AK6" s="1017"/>
      <c r="AL6" s="1017"/>
      <c r="AM6" s="1017"/>
      <c r="AN6" s="1017"/>
      <c r="AO6" s="1017"/>
      <c r="AP6" s="1017"/>
      <c r="AQ6" s="1017"/>
      <c r="AR6" s="1017"/>
      <c r="AS6" s="1017"/>
      <c r="AT6" s="1017"/>
      <c r="AU6" s="1017"/>
      <c r="AV6" s="1017"/>
      <c r="AW6" s="1017"/>
      <c r="AX6" s="1017"/>
      <c r="AY6" s="1017"/>
      <c r="AZ6" s="1017"/>
      <c r="BA6" s="1017"/>
      <c r="BB6" s="1017"/>
      <c r="BC6" s="1017"/>
      <c r="BD6" s="1017"/>
      <c r="BE6" s="1017"/>
      <c r="BF6" s="1017"/>
      <c r="BG6" s="1017"/>
      <c r="BH6" s="1017"/>
      <c r="BI6" s="1017"/>
      <c r="BJ6" s="1017"/>
      <c r="BK6" s="1018"/>
      <c r="BL6" s="1017"/>
      <c r="BM6" s="1017"/>
      <c r="BN6" s="1281"/>
      <c r="BO6" s="1282"/>
      <c r="BP6" s="1282"/>
      <c r="BQ6" s="1282"/>
      <c r="BR6" s="1283"/>
    </row>
    <row r="7" spans="1:89" ht="37.5" customHeight="1">
      <c r="A7" s="1350" t="s">
        <v>768</v>
      </c>
      <c r="B7" s="1294" t="s">
        <v>769</v>
      </c>
      <c r="C7" s="1294"/>
      <c r="D7" s="1294" t="s">
        <v>768</v>
      </c>
      <c r="E7" s="1294" t="s">
        <v>770</v>
      </c>
      <c r="F7" s="1294"/>
      <c r="G7" s="1294" t="s">
        <v>768</v>
      </c>
      <c r="H7" s="1294" t="s">
        <v>771</v>
      </c>
      <c r="I7" s="1294"/>
      <c r="J7" s="1294" t="s">
        <v>768</v>
      </c>
      <c r="K7" s="1294" t="s">
        <v>772</v>
      </c>
      <c r="L7" s="1294" t="s">
        <v>773</v>
      </c>
      <c r="M7" s="1285" t="s">
        <v>801</v>
      </c>
      <c r="N7" s="1287"/>
      <c r="O7" s="1294" t="s">
        <v>774</v>
      </c>
      <c r="P7" s="1291" t="s">
        <v>906</v>
      </c>
      <c r="Q7" s="1294" t="s">
        <v>775</v>
      </c>
      <c r="R7" s="1294" t="s">
        <v>776</v>
      </c>
      <c r="S7" s="1294" t="s">
        <v>777</v>
      </c>
      <c r="T7" s="1294" t="s">
        <v>778</v>
      </c>
      <c r="U7" s="1294" t="s">
        <v>779</v>
      </c>
      <c r="V7" s="1294" t="s">
        <v>780</v>
      </c>
      <c r="W7" s="1285" t="s">
        <v>777</v>
      </c>
      <c r="X7" s="1286"/>
      <c r="Y7" s="1287"/>
      <c r="Z7" s="1291" t="s">
        <v>768</v>
      </c>
      <c r="AA7" s="1294" t="s">
        <v>781</v>
      </c>
      <c r="AB7" s="1295" t="s">
        <v>782</v>
      </c>
      <c r="AC7" s="1296"/>
      <c r="AD7" s="1296"/>
      <c r="AE7" s="1297"/>
      <c r="AF7" s="1298" t="s">
        <v>783</v>
      </c>
      <c r="AG7" s="1299"/>
      <c r="AH7" s="1299"/>
      <c r="AI7" s="1299"/>
      <c r="AJ7" s="1299"/>
      <c r="AK7" s="1299"/>
      <c r="AL7" s="1299"/>
      <c r="AM7" s="1300"/>
      <c r="AN7" s="1301" t="s">
        <v>784</v>
      </c>
      <c r="AO7" s="1302"/>
      <c r="AP7" s="1302"/>
      <c r="AQ7" s="1302"/>
      <c r="AR7" s="1302"/>
      <c r="AS7" s="1302"/>
      <c r="AT7" s="1302"/>
      <c r="AU7" s="1302"/>
      <c r="AV7" s="1302"/>
      <c r="AW7" s="1302"/>
      <c r="AX7" s="1302"/>
      <c r="AY7" s="1303"/>
      <c r="AZ7" s="1298" t="s">
        <v>785</v>
      </c>
      <c r="BA7" s="1299"/>
      <c r="BB7" s="1299"/>
      <c r="BC7" s="1299"/>
      <c r="BD7" s="1299"/>
      <c r="BE7" s="1300"/>
      <c r="BF7" s="1304" t="s">
        <v>33</v>
      </c>
      <c r="BG7" s="1305"/>
      <c r="BH7" s="1308" t="s">
        <v>907</v>
      </c>
      <c r="BI7" s="1309"/>
      <c r="BJ7" s="1309"/>
      <c r="BK7" s="1309"/>
      <c r="BL7" s="1309"/>
      <c r="BM7" s="1310"/>
      <c r="BN7" s="1311" t="s">
        <v>786</v>
      </c>
      <c r="BO7" s="1312"/>
      <c r="BP7" s="1311" t="s">
        <v>787</v>
      </c>
      <c r="BQ7" s="1312"/>
      <c r="BR7" s="1315" t="s">
        <v>788</v>
      </c>
    </row>
    <row r="8" spans="1:89" ht="61.5" customHeight="1">
      <c r="A8" s="1350"/>
      <c r="B8" s="1294"/>
      <c r="C8" s="1294"/>
      <c r="D8" s="1294"/>
      <c r="E8" s="1294"/>
      <c r="F8" s="1294"/>
      <c r="G8" s="1294"/>
      <c r="H8" s="1294"/>
      <c r="I8" s="1294"/>
      <c r="J8" s="1294"/>
      <c r="K8" s="1294"/>
      <c r="L8" s="1294"/>
      <c r="M8" s="1351"/>
      <c r="N8" s="1352"/>
      <c r="O8" s="1294"/>
      <c r="P8" s="1292"/>
      <c r="Q8" s="1294"/>
      <c r="R8" s="1294"/>
      <c r="S8" s="1294"/>
      <c r="T8" s="1294"/>
      <c r="U8" s="1294"/>
      <c r="V8" s="1294"/>
      <c r="W8" s="1288"/>
      <c r="X8" s="1289"/>
      <c r="Y8" s="1290"/>
      <c r="Z8" s="1292"/>
      <c r="AA8" s="1294"/>
      <c r="AB8" s="1266" t="s">
        <v>789</v>
      </c>
      <c r="AC8" s="1266"/>
      <c r="AD8" s="1343" t="s">
        <v>790</v>
      </c>
      <c r="AE8" s="1343"/>
      <c r="AF8" s="1337" t="s">
        <v>791</v>
      </c>
      <c r="AG8" s="1341"/>
      <c r="AH8" s="1266" t="s">
        <v>803</v>
      </c>
      <c r="AI8" s="1342"/>
      <c r="AJ8" s="1337" t="s">
        <v>933</v>
      </c>
      <c r="AK8" s="1338"/>
      <c r="AL8" s="1266" t="s">
        <v>804</v>
      </c>
      <c r="AM8" s="1266"/>
      <c r="AN8" s="1266" t="s">
        <v>792</v>
      </c>
      <c r="AO8" s="1266"/>
      <c r="AP8" s="1266" t="s">
        <v>793</v>
      </c>
      <c r="AQ8" s="1266"/>
      <c r="AR8" s="1266" t="s">
        <v>794</v>
      </c>
      <c r="AS8" s="1266"/>
      <c r="AT8" s="1266" t="s">
        <v>795</v>
      </c>
      <c r="AU8" s="1266"/>
      <c r="AV8" s="1266" t="s">
        <v>796</v>
      </c>
      <c r="AW8" s="1266"/>
      <c r="AX8" s="1266" t="s">
        <v>797</v>
      </c>
      <c r="AY8" s="1266"/>
      <c r="AZ8" s="1266" t="s">
        <v>798</v>
      </c>
      <c r="BA8" s="1266"/>
      <c r="BB8" s="1266" t="s">
        <v>799</v>
      </c>
      <c r="BC8" s="1266"/>
      <c r="BD8" s="1266" t="s">
        <v>800</v>
      </c>
      <c r="BE8" s="1266"/>
      <c r="BF8" s="1306"/>
      <c r="BG8" s="1307"/>
      <c r="BH8" s="1267" t="s">
        <v>908</v>
      </c>
      <c r="BI8" s="1334" t="s">
        <v>909</v>
      </c>
      <c r="BJ8" s="1267" t="s">
        <v>910</v>
      </c>
      <c r="BK8" s="1335" t="s">
        <v>911</v>
      </c>
      <c r="BL8" s="1267" t="s">
        <v>912</v>
      </c>
      <c r="BM8" s="1339" t="s">
        <v>913</v>
      </c>
      <c r="BN8" s="1313"/>
      <c r="BO8" s="1314"/>
      <c r="BP8" s="1313"/>
      <c r="BQ8" s="1314"/>
      <c r="BR8" s="1315"/>
    </row>
    <row r="9" spans="1:89" ht="36" customHeight="1">
      <c r="A9" s="1350"/>
      <c r="B9" s="1294"/>
      <c r="C9" s="1294"/>
      <c r="D9" s="1294"/>
      <c r="E9" s="1294"/>
      <c r="F9" s="1294"/>
      <c r="G9" s="1294"/>
      <c r="H9" s="1294"/>
      <c r="I9" s="1294"/>
      <c r="J9" s="1294"/>
      <c r="K9" s="1294"/>
      <c r="L9" s="1294"/>
      <c r="M9" s="1016" t="s">
        <v>914</v>
      </c>
      <c r="N9" s="1015" t="s">
        <v>915</v>
      </c>
      <c r="O9" s="1294"/>
      <c r="P9" s="1292"/>
      <c r="Q9" s="1294"/>
      <c r="R9" s="1294"/>
      <c r="S9" s="1294"/>
      <c r="T9" s="1294"/>
      <c r="U9" s="1294"/>
      <c r="V9" s="1294"/>
      <c r="W9" s="1016" t="s">
        <v>916</v>
      </c>
      <c r="X9" s="1015" t="s">
        <v>917</v>
      </c>
      <c r="Y9" s="1015" t="s">
        <v>918</v>
      </c>
      <c r="Z9" s="1293"/>
      <c r="AA9" s="1294"/>
      <c r="AB9" s="1016" t="s">
        <v>914</v>
      </c>
      <c r="AC9" s="1015" t="s">
        <v>915</v>
      </c>
      <c r="AD9" s="1016" t="s">
        <v>914</v>
      </c>
      <c r="AE9" s="1015" t="s">
        <v>915</v>
      </c>
      <c r="AF9" s="1016" t="s">
        <v>914</v>
      </c>
      <c r="AG9" s="1015" t="s">
        <v>915</v>
      </c>
      <c r="AH9" s="1016" t="s">
        <v>914</v>
      </c>
      <c r="AI9" s="1015" t="s">
        <v>915</v>
      </c>
      <c r="AJ9" s="1016" t="s">
        <v>914</v>
      </c>
      <c r="AK9" s="1015" t="s">
        <v>915</v>
      </c>
      <c r="AL9" s="1016" t="s">
        <v>914</v>
      </c>
      <c r="AM9" s="1015" t="s">
        <v>915</v>
      </c>
      <c r="AN9" s="1016" t="s">
        <v>914</v>
      </c>
      <c r="AO9" s="1015" t="s">
        <v>915</v>
      </c>
      <c r="AP9" s="1016" t="s">
        <v>914</v>
      </c>
      <c r="AQ9" s="1015" t="s">
        <v>915</v>
      </c>
      <c r="AR9" s="1016" t="s">
        <v>914</v>
      </c>
      <c r="AS9" s="1015" t="s">
        <v>915</v>
      </c>
      <c r="AT9" s="1016" t="s">
        <v>914</v>
      </c>
      <c r="AU9" s="1015" t="s">
        <v>915</v>
      </c>
      <c r="AV9" s="1016" t="s">
        <v>914</v>
      </c>
      <c r="AW9" s="1015" t="s">
        <v>915</v>
      </c>
      <c r="AX9" s="1016" t="s">
        <v>914</v>
      </c>
      <c r="AY9" s="1015" t="s">
        <v>915</v>
      </c>
      <c r="AZ9" s="1016" t="s">
        <v>914</v>
      </c>
      <c r="BA9" s="1015" t="s">
        <v>915</v>
      </c>
      <c r="BB9" s="1016" t="s">
        <v>914</v>
      </c>
      <c r="BC9" s="1015" t="s">
        <v>915</v>
      </c>
      <c r="BD9" s="1016" t="s">
        <v>914</v>
      </c>
      <c r="BE9" s="1015" t="s">
        <v>915</v>
      </c>
      <c r="BF9" s="1016" t="s">
        <v>914</v>
      </c>
      <c r="BG9" s="1015" t="s">
        <v>915</v>
      </c>
      <c r="BH9" s="1267"/>
      <c r="BI9" s="1334"/>
      <c r="BJ9" s="1267"/>
      <c r="BK9" s="1335"/>
      <c r="BL9" s="1267"/>
      <c r="BM9" s="1340"/>
      <c r="BN9" s="1014" t="s">
        <v>914</v>
      </c>
      <c r="BO9" s="1013" t="s">
        <v>915</v>
      </c>
      <c r="BP9" s="1014" t="s">
        <v>914</v>
      </c>
      <c r="BQ9" s="1013" t="s">
        <v>915</v>
      </c>
      <c r="BR9" s="1315"/>
    </row>
    <row r="10" spans="1:89" ht="20.25" customHeight="1">
      <c r="A10" s="1012">
        <v>3</v>
      </c>
      <c r="B10" s="779"/>
      <c r="C10" s="779" t="s">
        <v>255</v>
      </c>
      <c r="D10" s="779"/>
      <c r="E10" s="779"/>
      <c r="F10" s="779"/>
      <c r="G10" s="779"/>
      <c r="H10" s="779"/>
      <c r="I10" s="779"/>
      <c r="J10" s="779"/>
      <c r="K10" s="780"/>
      <c r="L10" s="779"/>
      <c r="M10" s="779"/>
      <c r="N10" s="779"/>
      <c r="O10" s="779"/>
      <c r="P10" s="781"/>
      <c r="Q10" s="780"/>
      <c r="R10" s="782"/>
      <c r="S10" s="783"/>
      <c r="T10" s="780"/>
      <c r="U10" s="780"/>
      <c r="V10" s="780"/>
      <c r="W10" s="780"/>
      <c r="X10" s="780"/>
      <c r="Y10" s="780"/>
      <c r="Z10" s="784"/>
      <c r="AA10" s="781"/>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1010"/>
      <c r="BH10" s="1010"/>
      <c r="BI10" s="1010"/>
      <c r="BJ10" s="1010"/>
      <c r="BK10" s="1011"/>
      <c r="BL10" s="1010"/>
      <c r="BM10" s="1009"/>
      <c r="BN10" s="1009"/>
      <c r="BO10" s="1009"/>
      <c r="BP10" s="1009"/>
      <c r="BQ10" s="1008"/>
      <c r="BR10" s="1008"/>
      <c r="BS10" s="777"/>
      <c r="BT10" s="777"/>
      <c r="BU10" s="777"/>
      <c r="BV10" s="777"/>
      <c r="BW10" s="777"/>
      <c r="BX10" s="777"/>
      <c r="BY10" s="777"/>
      <c r="BZ10" s="777"/>
      <c r="CA10" s="777"/>
      <c r="CB10" s="777"/>
      <c r="CC10" s="777"/>
      <c r="CD10" s="777"/>
      <c r="CE10" s="777"/>
      <c r="CF10" s="777"/>
      <c r="CG10" s="777"/>
      <c r="CH10" s="777"/>
      <c r="CI10" s="777"/>
      <c r="CJ10" s="777"/>
      <c r="CK10" s="777"/>
    </row>
    <row r="11" spans="1:89" s="777" customFormat="1" ht="20.25" customHeight="1">
      <c r="A11" s="996"/>
      <c r="B11" s="785"/>
      <c r="C11" s="786"/>
      <c r="D11" s="787">
        <v>20</v>
      </c>
      <c r="E11" s="788" t="s">
        <v>712</v>
      </c>
      <c r="F11" s="788"/>
      <c r="G11" s="788"/>
      <c r="H11" s="788"/>
      <c r="I11" s="788"/>
      <c r="J11" s="788"/>
      <c r="K11" s="789"/>
      <c r="L11" s="788"/>
      <c r="M11" s="788"/>
      <c r="N11" s="788"/>
      <c r="O11" s="788"/>
      <c r="P11" s="790"/>
      <c r="Q11" s="789"/>
      <c r="R11" s="791"/>
      <c r="S11" s="792"/>
      <c r="T11" s="789"/>
      <c r="U11" s="789"/>
      <c r="V11" s="789"/>
      <c r="W11" s="793"/>
      <c r="X11" s="793"/>
      <c r="Y11" s="793"/>
      <c r="Z11" s="794"/>
      <c r="AA11" s="790"/>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8"/>
      <c r="AY11" s="788"/>
      <c r="AZ11" s="788"/>
      <c r="BA11" s="788"/>
      <c r="BB11" s="788"/>
      <c r="BC11" s="788"/>
      <c r="BD11" s="788"/>
      <c r="BE11" s="788"/>
      <c r="BF11" s="788"/>
      <c r="BG11" s="788"/>
      <c r="BH11" s="992"/>
      <c r="BI11" s="992"/>
      <c r="BJ11" s="992"/>
      <c r="BK11" s="994"/>
      <c r="BL11" s="993"/>
      <c r="BM11" s="992"/>
      <c r="BN11" s="991"/>
      <c r="BO11" s="991"/>
      <c r="BP11" s="991"/>
      <c r="BQ11" s="991"/>
      <c r="BR11" s="990"/>
    </row>
    <row r="12" spans="1:89" s="777" customFormat="1" ht="20.25" customHeight="1">
      <c r="A12" s="984"/>
      <c r="B12" s="795"/>
      <c r="C12" s="796"/>
      <c r="D12" s="797"/>
      <c r="E12" s="798"/>
      <c r="F12" s="798"/>
      <c r="G12" s="799">
        <v>68</v>
      </c>
      <c r="H12" s="800" t="s">
        <v>805</v>
      </c>
      <c r="I12" s="800"/>
      <c r="J12" s="800"/>
      <c r="K12" s="801"/>
      <c r="L12" s="800"/>
      <c r="M12" s="800"/>
      <c r="N12" s="800"/>
      <c r="O12" s="800"/>
      <c r="P12" s="802"/>
      <c r="Q12" s="801"/>
      <c r="R12" s="803"/>
      <c r="S12" s="804"/>
      <c r="T12" s="801"/>
      <c r="U12" s="801"/>
      <c r="V12" s="801"/>
      <c r="W12" s="805"/>
      <c r="X12" s="805"/>
      <c r="Y12" s="805"/>
      <c r="Z12" s="806"/>
      <c r="AA12" s="802"/>
      <c r="AB12" s="800"/>
      <c r="AC12" s="800"/>
      <c r="AD12" s="800"/>
      <c r="AE12" s="800"/>
      <c r="AF12" s="800"/>
      <c r="AG12" s="800"/>
      <c r="AH12" s="800"/>
      <c r="AI12" s="800"/>
      <c r="AJ12" s="800"/>
      <c r="AK12" s="800"/>
      <c r="AL12" s="800"/>
      <c r="AM12" s="800"/>
      <c r="AN12" s="800"/>
      <c r="AO12" s="800"/>
      <c r="AP12" s="800"/>
      <c r="AQ12" s="800"/>
      <c r="AR12" s="800"/>
      <c r="AS12" s="800"/>
      <c r="AT12" s="800"/>
      <c r="AU12" s="800"/>
      <c r="AV12" s="800"/>
      <c r="AW12" s="800"/>
      <c r="AX12" s="800"/>
      <c r="AY12" s="800"/>
      <c r="AZ12" s="800"/>
      <c r="BA12" s="800"/>
      <c r="BB12" s="800"/>
      <c r="BC12" s="800"/>
      <c r="BD12" s="800"/>
      <c r="BE12" s="800"/>
      <c r="BF12" s="800"/>
      <c r="BG12" s="800"/>
      <c r="BH12" s="1005"/>
      <c r="BI12" s="1005"/>
      <c r="BJ12" s="1005"/>
      <c r="BK12" s="1007"/>
      <c r="BL12" s="1006"/>
      <c r="BM12" s="1005"/>
      <c r="BN12" s="986"/>
      <c r="BO12" s="986"/>
      <c r="BP12" s="986"/>
      <c r="BQ12" s="986"/>
      <c r="BR12" s="1004"/>
    </row>
    <row r="13" spans="1:89" s="777" customFormat="1" ht="33" customHeight="1">
      <c r="A13" s="984"/>
      <c r="B13" s="795"/>
      <c r="C13" s="796"/>
      <c r="D13" s="811"/>
      <c r="E13" s="812"/>
      <c r="F13" s="812"/>
      <c r="G13" s="1003"/>
      <c r="H13" s="812"/>
      <c r="I13" s="812"/>
      <c r="J13" s="1236">
        <v>202</v>
      </c>
      <c r="K13" s="1237" t="s">
        <v>932</v>
      </c>
      <c r="L13" s="1237" t="s">
        <v>931</v>
      </c>
      <c r="M13" s="1236">
        <v>23</v>
      </c>
      <c r="N13" s="1236">
        <v>1</v>
      </c>
      <c r="O13" s="808" t="s">
        <v>806</v>
      </c>
      <c r="P13" s="1231" t="s">
        <v>717</v>
      </c>
      <c r="Q13" s="1221" t="s">
        <v>718</v>
      </c>
      <c r="R13" s="1238">
        <f>+(W13+W14+W15)/S13</f>
        <v>0.77227688656143501</v>
      </c>
      <c r="S13" s="1234">
        <f>SUM(W13:W16)</f>
        <v>837732618</v>
      </c>
      <c r="T13" s="1221" t="s">
        <v>807</v>
      </c>
      <c r="U13" s="1224" t="s">
        <v>808</v>
      </c>
      <c r="V13" s="1227" t="s">
        <v>809</v>
      </c>
      <c r="W13" s="807">
        <v>78571457</v>
      </c>
      <c r="X13" s="1039">
        <v>5600000</v>
      </c>
      <c r="Y13" s="1040">
        <v>0</v>
      </c>
      <c r="Z13" s="808">
        <v>3</v>
      </c>
      <c r="AA13" s="808" t="s">
        <v>810</v>
      </c>
      <c r="AB13" s="1268">
        <v>300</v>
      </c>
      <c r="AC13" s="1268">
        <f>5+23</f>
        <v>28</v>
      </c>
      <c r="AD13" s="1268">
        <v>710</v>
      </c>
      <c r="AE13" s="1268">
        <f>4+38</f>
        <v>42</v>
      </c>
      <c r="AF13" s="1268">
        <v>317</v>
      </c>
      <c r="AG13" s="1268">
        <v>10</v>
      </c>
      <c r="AH13" s="1268">
        <v>633</v>
      </c>
      <c r="AI13" s="1268">
        <f>2+32</f>
        <v>34</v>
      </c>
      <c r="AJ13" s="1268"/>
      <c r="AK13" s="1268">
        <f>9+19</f>
        <v>28</v>
      </c>
      <c r="AL13" s="1268"/>
      <c r="AM13" s="1268"/>
      <c r="AN13" s="1268"/>
      <c r="AO13" s="1268">
        <v>1</v>
      </c>
      <c r="AP13" s="1268"/>
      <c r="AQ13" s="1268">
        <v>4</v>
      </c>
      <c r="AR13" s="1268"/>
      <c r="AS13" s="1268"/>
      <c r="AT13" s="1268"/>
      <c r="AU13" s="1268"/>
      <c r="AV13" s="1268"/>
      <c r="AW13" s="1268"/>
      <c r="AX13" s="1268"/>
      <c r="AY13" s="1268"/>
      <c r="AZ13" s="1268"/>
      <c r="BA13" s="1268"/>
      <c r="BB13" s="1268">
        <v>60</v>
      </c>
      <c r="BC13" s="1268">
        <v>1</v>
      </c>
      <c r="BD13" s="1353"/>
      <c r="BE13" s="1329"/>
      <c r="BF13" s="1268">
        <f>+AB13+AD13</f>
        <v>1010</v>
      </c>
      <c r="BG13" s="1268">
        <f>+AC13+AE13</f>
        <v>70</v>
      </c>
      <c r="BH13" s="1268">
        <v>26</v>
      </c>
      <c r="BI13" s="1330">
        <f>+SUM(X13:X16)</f>
        <v>124485591</v>
      </c>
      <c r="BJ13" s="1322">
        <f>+SUM(Y14:Y16)</f>
        <v>39270000</v>
      </c>
      <c r="BK13" s="1273">
        <f>+BI13/S13</f>
        <v>0.14859823805977196</v>
      </c>
      <c r="BL13" s="808" t="s">
        <v>810</v>
      </c>
      <c r="BM13" s="1245" t="s">
        <v>947</v>
      </c>
      <c r="BN13" s="1316">
        <v>43862</v>
      </c>
      <c r="BO13" s="1316">
        <v>43862</v>
      </c>
      <c r="BP13" s="1316">
        <v>44012</v>
      </c>
      <c r="BQ13" s="1316">
        <v>44012</v>
      </c>
      <c r="BR13" s="1224" t="s">
        <v>811</v>
      </c>
    </row>
    <row r="14" spans="1:89" s="777" customFormat="1" ht="30" customHeight="1">
      <c r="A14" s="984"/>
      <c r="B14" s="795"/>
      <c r="C14" s="796"/>
      <c r="D14" s="811"/>
      <c r="E14" s="812"/>
      <c r="F14" s="812"/>
      <c r="G14" s="811"/>
      <c r="H14" s="812"/>
      <c r="I14" s="812"/>
      <c r="J14" s="1236"/>
      <c r="K14" s="1237"/>
      <c r="L14" s="1237"/>
      <c r="M14" s="1236"/>
      <c r="N14" s="1236"/>
      <c r="O14" s="808" t="s">
        <v>874</v>
      </c>
      <c r="P14" s="1232"/>
      <c r="Q14" s="1222"/>
      <c r="R14" s="1239"/>
      <c r="S14" s="1241"/>
      <c r="T14" s="1222"/>
      <c r="U14" s="1225"/>
      <c r="V14" s="1228"/>
      <c r="W14" s="807">
        <v>187045010</v>
      </c>
      <c r="X14" s="1040">
        <v>38415591</v>
      </c>
      <c r="Y14" s="1040">
        <v>6750000</v>
      </c>
      <c r="Z14" s="808">
        <v>12</v>
      </c>
      <c r="AA14" s="808" t="s">
        <v>812</v>
      </c>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353"/>
      <c r="BE14" s="1329"/>
      <c r="BF14" s="1268"/>
      <c r="BG14" s="1268"/>
      <c r="BH14" s="1268"/>
      <c r="BI14" s="1336"/>
      <c r="BJ14" s="1323"/>
      <c r="BK14" s="1274"/>
      <c r="BL14" s="808" t="s">
        <v>812</v>
      </c>
      <c r="BM14" s="1261"/>
      <c r="BN14" s="1317"/>
      <c r="BO14" s="1317"/>
      <c r="BP14" s="1317"/>
      <c r="BQ14" s="1317"/>
      <c r="BR14" s="1225"/>
    </row>
    <row r="15" spans="1:89" s="777" customFormat="1" ht="36" customHeight="1">
      <c r="A15" s="984"/>
      <c r="B15" s="795"/>
      <c r="C15" s="796"/>
      <c r="D15" s="811"/>
      <c r="E15" s="812"/>
      <c r="F15" s="812"/>
      <c r="G15" s="811"/>
      <c r="H15" s="812"/>
      <c r="I15" s="812"/>
      <c r="J15" s="1236"/>
      <c r="K15" s="1237"/>
      <c r="L15" s="1237"/>
      <c r="M15" s="1236"/>
      <c r="N15" s="1236"/>
      <c r="O15" s="949" t="s">
        <v>813</v>
      </c>
      <c r="P15" s="1232"/>
      <c r="Q15" s="1222"/>
      <c r="R15" s="1240"/>
      <c r="S15" s="1241"/>
      <c r="T15" s="1222"/>
      <c r="U15" s="1225"/>
      <c r="V15" s="945" t="s">
        <v>814</v>
      </c>
      <c r="W15" s="809">
        <v>381345071</v>
      </c>
      <c r="X15" s="889">
        <v>66650000</v>
      </c>
      <c r="Y15" s="841">
        <v>18700000</v>
      </c>
      <c r="Z15" s="810">
        <v>4</v>
      </c>
      <c r="AA15" s="949" t="s">
        <v>815</v>
      </c>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353"/>
      <c r="BE15" s="1329"/>
      <c r="BF15" s="1268"/>
      <c r="BG15" s="1268"/>
      <c r="BH15" s="1268"/>
      <c r="BI15" s="1336"/>
      <c r="BJ15" s="1323"/>
      <c r="BK15" s="1274"/>
      <c r="BL15" s="949" t="s">
        <v>815</v>
      </c>
      <c r="BM15" s="1261"/>
      <c r="BN15" s="1317"/>
      <c r="BO15" s="1317"/>
      <c r="BP15" s="1317"/>
      <c r="BQ15" s="1317"/>
      <c r="BR15" s="1225"/>
    </row>
    <row r="16" spans="1:89" s="777" customFormat="1" ht="113.25" customHeight="1">
      <c r="A16" s="984"/>
      <c r="B16" s="795"/>
      <c r="C16" s="796"/>
      <c r="D16" s="811"/>
      <c r="E16" s="812"/>
      <c r="F16" s="812"/>
      <c r="G16" s="811"/>
      <c r="H16" s="812"/>
      <c r="I16" s="812"/>
      <c r="J16" s="946">
        <v>203</v>
      </c>
      <c r="K16" s="947" t="s">
        <v>816</v>
      </c>
      <c r="L16" s="947" t="s">
        <v>930</v>
      </c>
      <c r="M16" s="946">
        <v>20</v>
      </c>
      <c r="N16" s="946">
        <v>10</v>
      </c>
      <c r="O16" s="946" t="s">
        <v>817</v>
      </c>
      <c r="P16" s="1233"/>
      <c r="Q16" s="1223"/>
      <c r="R16" s="813">
        <f>+W16/S13</f>
        <v>0.22772311343856494</v>
      </c>
      <c r="S16" s="1235"/>
      <c r="T16" s="1223"/>
      <c r="U16" s="1226"/>
      <c r="V16" s="947" t="s">
        <v>818</v>
      </c>
      <c r="W16" s="809">
        <v>190771080</v>
      </c>
      <c r="X16" s="889">
        <v>13820000</v>
      </c>
      <c r="Y16" s="840">
        <v>13820000</v>
      </c>
      <c r="Z16" s="814">
        <v>4</v>
      </c>
      <c r="AA16" s="946" t="s">
        <v>815</v>
      </c>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353"/>
      <c r="BE16" s="1329"/>
      <c r="BF16" s="1268"/>
      <c r="BG16" s="1268"/>
      <c r="BH16" s="1268"/>
      <c r="BI16" s="1331"/>
      <c r="BJ16" s="1332"/>
      <c r="BK16" s="1333"/>
      <c r="BL16" s="946" t="s">
        <v>815</v>
      </c>
      <c r="BM16" s="1246"/>
      <c r="BN16" s="1325"/>
      <c r="BO16" s="1325"/>
      <c r="BP16" s="1325"/>
      <c r="BQ16" s="1325"/>
      <c r="BR16" s="1226"/>
    </row>
    <row r="17" spans="1:70" s="777" customFormat="1" ht="23.25" customHeight="1">
      <c r="A17" s="984"/>
      <c r="B17" s="795"/>
      <c r="C17" s="796"/>
      <c r="D17" s="811"/>
      <c r="E17" s="812"/>
      <c r="F17" s="812"/>
      <c r="G17" s="799">
        <v>69</v>
      </c>
      <c r="H17" s="800" t="s">
        <v>819</v>
      </c>
      <c r="I17" s="800"/>
      <c r="J17" s="800"/>
      <c r="K17" s="801"/>
      <c r="L17" s="800"/>
      <c r="M17" s="800"/>
      <c r="N17" s="800"/>
      <c r="O17" s="800"/>
      <c r="P17" s="802"/>
      <c r="Q17" s="801"/>
      <c r="R17" s="803"/>
      <c r="S17" s="804"/>
      <c r="T17" s="801" t="s">
        <v>820</v>
      </c>
      <c r="U17" s="801" t="s">
        <v>820</v>
      </c>
      <c r="V17" s="1002"/>
      <c r="W17" s="989"/>
      <c r="X17" s="989"/>
      <c r="Y17" s="989"/>
      <c r="Z17" s="806"/>
      <c r="AA17" s="805"/>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353"/>
      <c r="BE17" s="1329"/>
      <c r="BF17" s="1268"/>
      <c r="BG17" s="1268"/>
      <c r="BH17" s="1268"/>
      <c r="BI17" s="987"/>
      <c r="BJ17" s="987"/>
      <c r="BK17" s="988"/>
      <c r="BL17" s="802"/>
      <c r="BM17" s="987"/>
      <c r="BN17" s="986"/>
      <c r="BO17" s="986"/>
      <c r="BP17" s="986"/>
      <c r="BQ17" s="986"/>
      <c r="BR17" s="985"/>
    </row>
    <row r="18" spans="1:70" s="777" customFormat="1" ht="46.5" customHeight="1">
      <c r="A18" s="984"/>
      <c r="B18" s="795"/>
      <c r="C18" s="796"/>
      <c r="D18" s="811"/>
      <c r="E18" s="812"/>
      <c r="F18" s="812"/>
      <c r="G18" s="811"/>
      <c r="H18" s="812"/>
      <c r="I18" s="812"/>
      <c r="J18" s="1236">
        <v>204</v>
      </c>
      <c r="K18" s="1237" t="s">
        <v>821</v>
      </c>
      <c r="L18" s="1230" t="s">
        <v>929</v>
      </c>
      <c r="M18" s="1231">
        <v>13</v>
      </c>
      <c r="N18" s="1231">
        <v>0</v>
      </c>
      <c r="O18" s="946" t="s">
        <v>822</v>
      </c>
      <c r="P18" s="1231" t="s">
        <v>717</v>
      </c>
      <c r="Q18" s="1221" t="s">
        <v>718</v>
      </c>
      <c r="R18" s="813">
        <f>+W18/S18</f>
        <v>0.64747356051703875</v>
      </c>
      <c r="S18" s="1234">
        <f>SUM(W18:W19)</f>
        <v>170200000</v>
      </c>
      <c r="T18" s="1221" t="s">
        <v>807</v>
      </c>
      <c r="U18" s="1221" t="s">
        <v>808</v>
      </c>
      <c r="V18" s="1221" t="s">
        <v>928</v>
      </c>
      <c r="W18" s="999">
        <v>110200000</v>
      </c>
      <c r="X18" s="889">
        <v>3000000</v>
      </c>
      <c r="Y18" s="840">
        <v>600000</v>
      </c>
      <c r="Z18" s="942">
        <v>12</v>
      </c>
      <c r="AA18" s="944" t="s">
        <v>812</v>
      </c>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353"/>
      <c r="BE18" s="1329"/>
      <c r="BF18" s="1268"/>
      <c r="BG18" s="1268"/>
      <c r="BH18" s="1268"/>
      <c r="BI18" s="1330">
        <f>+SUM(X18:X19)</f>
        <v>7000000</v>
      </c>
      <c r="BJ18" s="1322">
        <f>+SUM(Y18:Y19)</f>
        <v>2100000</v>
      </c>
      <c r="BK18" s="1273">
        <f>+BI18/S18</f>
        <v>4.1128084606345476E-2</v>
      </c>
      <c r="BL18" s="944" t="s">
        <v>812</v>
      </c>
      <c r="BM18" s="1245" t="s">
        <v>947</v>
      </c>
      <c r="BN18" s="1316">
        <v>43862</v>
      </c>
      <c r="BO18" s="1316">
        <v>43862</v>
      </c>
      <c r="BP18" s="1316">
        <v>44012</v>
      </c>
      <c r="BQ18" s="1316">
        <v>44012</v>
      </c>
      <c r="BR18" s="1224" t="s">
        <v>811</v>
      </c>
    </row>
    <row r="19" spans="1:70" s="777" customFormat="1" ht="51.75" customHeight="1">
      <c r="A19" s="984"/>
      <c r="B19" s="795"/>
      <c r="C19" s="796"/>
      <c r="D19" s="811"/>
      <c r="E19" s="812"/>
      <c r="F19" s="812"/>
      <c r="G19" s="811"/>
      <c r="H19" s="812"/>
      <c r="I19" s="812"/>
      <c r="J19" s="1236"/>
      <c r="K19" s="1237"/>
      <c r="L19" s="1230"/>
      <c r="M19" s="1233"/>
      <c r="N19" s="1233"/>
      <c r="O19" s="946" t="s">
        <v>823</v>
      </c>
      <c r="P19" s="1233"/>
      <c r="Q19" s="1223"/>
      <c r="R19" s="813">
        <f>+W19/S18</f>
        <v>0.3525264394829612</v>
      </c>
      <c r="S19" s="1235"/>
      <c r="T19" s="1223"/>
      <c r="U19" s="1223" t="s">
        <v>820</v>
      </c>
      <c r="V19" s="1223"/>
      <c r="W19" s="999">
        <v>60000000</v>
      </c>
      <c r="X19" s="958">
        <v>4000000</v>
      </c>
      <c r="Y19" s="841">
        <v>1500000</v>
      </c>
      <c r="Z19" s="942">
        <v>4</v>
      </c>
      <c r="AA19" s="944" t="s">
        <v>815</v>
      </c>
      <c r="AB19" s="1268"/>
      <c r="AC19" s="1268"/>
      <c r="AD19" s="1268"/>
      <c r="AE19" s="1268"/>
      <c r="AF19" s="1268"/>
      <c r="AG19" s="1268"/>
      <c r="AH19" s="1268"/>
      <c r="AI19" s="1268"/>
      <c r="AJ19" s="1268"/>
      <c r="AK19" s="1268"/>
      <c r="AL19" s="1268"/>
      <c r="AM19" s="1268"/>
      <c r="AN19" s="1268"/>
      <c r="AO19" s="1268"/>
      <c r="AP19" s="1268"/>
      <c r="AQ19" s="1268"/>
      <c r="AR19" s="1268"/>
      <c r="AS19" s="1268"/>
      <c r="AT19" s="1268"/>
      <c r="AU19" s="1268"/>
      <c r="AV19" s="1268"/>
      <c r="AW19" s="1268"/>
      <c r="AX19" s="1268"/>
      <c r="AY19" s="1268"/>
      <c r="AZ19" s="1268"/>
      <c r="BA19" s="1268"/>
      <c r="BB19" s="1268"/>
      <c r="BC19" s="1268"/>
      <c r="BD19" s="1353"/>
      <c r="BE19" s="1329"/>
      <c r="BF19" s="1268"/>
      <c r="BG19" s="1268"/>
      <c r="BH19" s="1268"/>
      <c r="BI19" s="1331"/>
      <c r="BJ19" s="1332"/>
      <c r="BK19" s="1333"/>
      <c r="BL19" s="944" t="s">
        <v>815</v>
      </c>
      <c r="BM19" s="1246"/>
      <c r="BN19" s="1317"/>
      <c r="BO19" s="1317"/>
      <c r="BP19" s="1317"/>
      <c r="BQ19" s="1317"/>
      <c r="BR19" s="1225"/>
    </row>
    <row r="20" spans="1:70" s="777" customFormat="1" ht="23.25" customHeight="1">
      <c r="A20" s="984"/>
      <c r="B20" s="795"/>
      <c r="C20" s="796"/>
      <c r="D20" s="811"/>
      <c r="E20" s="812"/>
      <c r="F20" s="812"/>
      <c r="G20" s="799">
        <v>70</v>
      </c>
      <c r="H20" s="800" t="s">
        <v>824</v>
      </c>
      <c r="I20" s="800"/>
      <c r="J20" s="800"/>
      <c r="K20" s="801"/>
      <c r="L20" s="800"/>
      <c r="M20" s="800"/>
      <c r="N20" s="800"/>
      <c r="O20" s="800"/>
      <c r="P20" s="802"/>
      <c r="Q20" s="801"/>
      <c r="R20" s="803"/>
      <c r="S20" s="804"/>
      <c r="T20" s="801" t="s">
        <v>820</v>
      </c>
      <c r="U20" s="801" t="s">
        <v>820</v>
      </c>
      <c r="V20" s="801"/>
      <c r="W20" s="989"/>
      <c r="X20" s="989"/>
      <c r="Y20" s="989"/>
      <c r="Z20" s="806"/>
      <c r="AA20" s="802"/>
      <c r="AB20" s="987"/>
      <c r="AC20" s="987"/>
      <c r="AD20" s="987"/>
      <c r="AE20" s="987"/>
      <c r="AF20" s="987"/>
      <c r="AG20" s="987"/>
      <c r="AH20" s="987"/>
      <c r="AI20" s="987"/>
      <c r="AJ20" s="987"/>
      <c r="AK20" s="987"/>
      <c r="AL20" s="987"/>
      <c r="AM20" s="987"/>
      <c r="AN20" s="987"/>
      <c r="AO20" s="987"/>
      <c r="AP20" s="987"/>
      <c r="AQ20" s="987"/>
      <c r="AR20" s="987"/>
      <c r="AS20" s="987"/>
      <c r="AT20" s="987"/>
      <c r="AU20" s="987"/>
      <c r="AV20" s="987"/>
      <c r="AW20" s="987"/>
      <c r="AX20" s="987"/>
      <c r="AY20" s="987"/>
      <c r="AZ20" s="987"/>
      <c r="BA20" s="987"/>
      <c r="BB20" s="987"/>
      <c r="BC20" s="987"/>
      <c r="BD20" s="987"/>
      <c r="BE20" s="987"/>
      <c r="BF20" s="987"/>
      <c r="BG20" s="987"/>
      <c r="BH20" s="987"/>
      <c r="BI20" s="987"/>
      <c r="BJ20" s="987"/>
      <c r="BK20" s="988"/>
      <c r="BL20" s="802"/>
      <c r="BM20" s="987"/>
      <c r="BN20" s="986"/>
      <c r="BO20" s="986"/>
      <c r="BP20" s="986"/>
      <c r="BQ20" s="986"/>
      <c r="BR20" s="985"/>
    </row>
    <row r="21" spans="1:70" s="777" customFormat="1" ht="93" customHeight="1">
      <c r="A21" s="984"/>
      <c r="B21" s="795"/>
      <c r="C21" s="796"/>
      <c r="D21" s="811"/>
      <c r="E21" s="812"/>
      <c r="F21" s="812"/>
      <c r="G21" s="811"/>
      <c r="H21" s="812"/>
      <c r="I21" s="812"/>
      <c r="J21" s="1236">
        <v>205</v>
      </c>
      <c r="K21" s="1237" t="s">
        <v>723</v>
      </c>
      <c r="L21" s="1229" t="s">
        <v>825</v>
      </c>
      <c r="M21" s="1236">
        <v>1</v>
      </c>
      <c r="N21" s="1236">
        <v>0</v>
      </c>
      <c r="O21" s="946" t="s">
        <v>826</v>
      </c>
      <c r="P21" s="1236" t="s">
        <v>724</v>
      </c>
      <c r="Q21" s="1237" t="s">
        <v>725</v>
      </c>
      <c r="R21" s="813">
        <f>+W21/$S$21</f>
        <v>0.6</v>
      </c>
      <c r="S21" s="1234">
        <f>+SUM(W21:W22)</f>
        <v>200000000</v>
      </c>
      <c r="T21" s="1221" t="s">
        <v>827</v>
      </c>
      <c r="U21" s="1221" t="s">
        <v>828</v>
      </c>
      <c r="V21" s="1221" t="s">
        <v>829</v>
      </c>
      <c r="W21" s="950">
        <v>120000000</v>
      </c>
      <c r="X21" s="889">
        <v>7000000</v>
      </c>
      <c r="Y21" s="841">
        <v>1750000</v>
      </c>
      <c r="Z21" s="942">
        <v>12</v>
      </c>
      <c r="AA21" s="944" t="s">
        <v>812</v>
      </c>
      <c r="AB21" s="1268">
        <v>6000</v>
      </c>
      <c r="AC21" s="1268">
        <v>0</v>
      </c>
      <c r="AD21" s="1268">
        <v>9000</v>
      </c>
      <c r="AE21" s="1268">
        <v>0</v>
      </c>
      <c r="AF21" s="1268">
        <v>10500</v>
      </c>
      <c r="AG21" s="1268"/>
      <c r="AH21" s="1268">
        <v>4500</v>
      </c>
      <c r="AI21" s="1268"/>
      <c r="AJ21" s="1268"/>
      <c r="AK21" s="1268"/>
      <c r="AL21" s="1268"/>
      <c r="AM21" s="1268"/>
      <c r="AN21" s="1268">
        <v>22</v>
      </c>
      <c r="AO21" s="1268"/>
      <c r="AP21" s="1268">
        <v>115</v>
      </c>
      <c r="AQ21" s="1268"/>
      <c r="AR21" s="1268">
        <v>1</v>
      </c>
      <c r="AS21" s="1268"/>
      <c r="AT21" s="1268"/>
      <c r="AU21" s="1268"/>
      <c r="AV21" s="1268"/>
      <c r="AW21" s="1268"/>
      <c r="AX21" s="1268"/>
      <c r="AY21" s="1268"/>
      <c r="AZ21" s="1268"/>
      <c r="BA21" s="1268"/>
      <c r="BB21" s="1268">
        <v>59</v>
      </c>
      <c r="BC21" s="1268"/>
      <c r="BD21" s="1269"/>
      <c r="BE21" s="1269"/>
      <c r="BF21" s="1268">
        <f>+AB21+AD21</f>
        <v>15000</v>
      </c>
      <c r="BG21" s="1268">
        <v>0</v>
      </c>
      <c r="BH21" s="1268">
        <v>1</v>
      </c>
      <c r="BI21" s="1322">
        <f>+SUM(X21:X22)</f>
        <v>7000000</v>
      </c>
      <c r="BJ21" s="1322">
        <f>+SUM(Y21:Y22)</f>
        <v>1750000</v>
      </c>
      <c r="BK21" s="1327">
        <f>+BI21/S21</f>
        <v>3.5000000000000003E-2</v>
      </c>
      <c r="BL21" s="1001" t="s">
        <v>812</v>
      </c>
      <c r="BM21" s="1268" t="s">
        <v>927</v>
      </c>
      <c r="BN21" s="1328">
        <v>43862</v>
      </c>
      <c r="BO21" s="1328">
        <v>43862</v>
      </c>
      <c r="BP21" s="1328">
        <v>44012</v>
      </c>
      <c r="BQ21" s="1328">
        <v>44012</v>
      </c>
      <c r="BR21" s="1326" t="s">
        <v>811</v>
      </c>
    </row>
    <row r="22" spans="1:70" s="777" customFormat="1" ht="71.25" customHeight="1">
      <c r="A22" s="984"/>
      <c r="B22" s="795"/>
      <c r="C22" s="796"/>
      <c r="D22" s="811"/>
      <c r="E22" s="812"/>
      <c r="F22" s="812"/>
      <c r="G22" s="811"/>
      <c r="H22" s="812"/>
      <c r="I22" s="812"/>
      <c r="J22" s="1236"/>
      <c r="K22" s="1237"/>
      <c r="L22" s="1229"/>
      <c r="M22" s="1236"/>
      <c r="N22" s="1236"/>
      <c r="O22" s="946" t="s">
        <v>830</v>
      </c>
      <c r="P22" s="1236"/>
      <c r="Q22" s="1237"/>
      <c r="R22" s="813">
        <f>+W22/$S$21</f>
        <v>0.4</v>
      </c>
      <c r="S22" s="1235"/>
      <c r="T22" s="1222"/>
      <c r="U22" s="1222" t="s">
        <v>820</v>
      </c>
      <c r="V22" s="1222"/>
      <c r="W22" s="950">
        <v>80000000</v>
      </c>
      <c r="X22" s="889">
        <v>0</v>
      </c>
      <c r="Y22" s="841">
        <v>0</v>
      </c>
      <c r="Z22" s="942">
        <v>4</v>
      </c>
      <c r="AA22" s="944" t="s">
        <v>815</v>
      </c>
      <c r="AB22" s="1268"/>
      <c r="AC22" s="1268"/>
      <c r="AD22" s="1268"/>
      <c r="AE22" s="1268"/>
      <c r="AF22" s="1268"/>
      <c r="AG22" s="1268"/>
      <c r="AH22" s="1268"/>
      <c r="AI22" s="1268"/>
      <c r="AJ22" s="1268"/>
      <c r="AK22" s="1268"/>
      <c r="AL22" s="1268"/>
      <c r="AM22" s="1268"/>
      <c r="AN22" s="1268"/>
      <c r="AO22" s="1268"/>
      <c r="AP22" s="1268"/>
      <c r="AQ22" s="1268"/>
      <c r="AR22" s="1268"/>
      <c r="AS22" s="1268"/>
      <c r="AT22" s="1268"/>
      <c r="AU22" s="1268"/>
      <c r="AV22" s="1268"/>
      <c r="AW22" s="1268"/>
      <c r="AX22" s="1268"/>
      <c r="AY22" s="1268"/>
      <c r="AZ22" s="1268"/>
      <c r="BA22" s="1268"/>
      <c r="BB22" s="1268"/>
      <c r="BC22" s="1268"/>
      <c r="BD22" s="1270"/>
      <c r="BE22" s="1270"/>
      <c r="BF22" s="1268"/>
      <c r="BG22" s="1268"/>
      <c r="BH22" s="1268"/>
      <c r="BI22" s="1323"/>
      <c r="BJ22" s="1323"/>
      <c r="BK22" s="1327"/>
      <c r="BL22" s="1001" t="s">
        <v>923</v>
      </c>
      <c r="BM22" s="1268"/>
      <c r="BN22" s="1328"/>
      <c r="BO22" s="1328"/>
      <c r="BP22" s="1328"/>
      <c r="BQ22" s="1328"/>
      <c r="BR22" s="1326"/>
    </row>
    <row r="23" spans="1:70" s="777" customFormat="1" ht="23.25" customHeight="1">
      <c r="A23" s="984"/>
      <c r="B23" s="795"/>
      <c r="C23" s="796"/>
      <c r="D23" s="811"/>
      <c r="E23" s="812"/>
      <c r="F23" s="812"/>
      <c r="G23" s="799">
        <v>71</v>
      </c>
      <c r="H23" s="800" t="s">
        <v>726</v>
      </c>
      <c r="I23" s="800"/>
      <c r="J23" s="800"/>
      <c r="K23" s="801"/>
      <c r="L23" s="800"/>
      <c r="M23" s="800"/>
      <c r="N23" s="800"/>
      <c r="O23" s="800"/>
      <c r="P23" s="802"/>
      <c r="Q23" s="801"/>
      <c r="R23" s="803"/>
      <c r="S23" s="804"/>
      <c r="T23" s="801" t="s">
        <v>820</v>
      </c>
      <c r="U23" s="801" t="s">
        <v>820</v>
      </c>
      <c r="V23" s="801"/>
      <c r="W23" s="989"/>
      <c r="X23" s="989"/>
      <c r="Y23" s="989"/>
      <c r="Z23" s="806"/>
      <c r="AA23" s="802"/>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8"/>
      <c r="BL23" s="802"/>
      <c r="BM23" s="987"/>
      <c r="BN23" s="986"/>
      <c r="BO23" s="986"/>
      <c r="BP23" s="986"/>
      <c r="BQ23" s="986"/>
      <c r="BR23" s="985"/>
    </row>
    <row r="24" spans="1:70" s="777" customFormat="1" ht="150" customHeight="1">
      <c r="A24" s="984"/>
      <c r="B24" s="795"/>
      <c r="C24" s="796"/>
      <c r="D24" s="811"/>
      <c r="E24" s="812"/>
      <c r="F24" s="812"/>
      <c r="G24" s="811"/>
      <c r="H24" s="812"/>
      <c r="I24" s="812"/>
      <c r="J24" s="1026">
        <v>206</v>
      </c>
      <c r="K24" s="1026" t="s">
        <v>727</v>
      </c>
      <c r="L24" s="1032" t="s">
        <v>831</v>
      </c>
      <c r="M24" s="1026">
        <v>12</v>
      </c>
      <c r="N24" s="1026">
        <v>8</v>
      </c>
      <c r="O24" s="1028" t="s">
        <v>832</v>
      </c>
      <c r="P24" s="1231" t="s">
        <v>728</v>
      </c>
      <c r="Q24" s="1221" t="s">
        <v>729</v>
      </c>
      <c r="R24" s="813">
        <f>+W24/S24</f>
        <v>0.31152144564891288</v>
      </c>
      <c r="S24" s="1242">
        <f>SUM(W24:W28)</f>
        <v>176552853</v>
      </c>
      <c r="T24" s="1221" t="s">
        <v>833</v>
      </c>
      <c r="U24" s="1221" t="s">
        <v>834</v>
      </c>
      <c r="V24" s="1029" t="s">
        <v>835</v>
      </c>
      <c r="W24" s="1030">
        <v>55000000</v>
      </c>
      <c r="X24" s="1035">
        <v>50620000</v>
      </c>
      <c r="Y24" s="1035">
        <v>11010000</v>
      </c>
      <c r="Z24" s="1031">
        <v>12</v>
      </c>
      <c r="AA24" s="1028" t="s">
        <v>812</v>
      </c>
      <c r="AB24" s="1245">
        <v>770</v>
      </c>
      <c r="AC24" s="1245">
        <v>93</v>
      </c>
      <c r="AD24" s="1245">
        <v>630</v>
      </c>
      <c r="AE24" s="1245">
        <v>34</v>
      </c>
      <c r="AF24" s="1245">
        <v>372</v>
      </c>
      <c r="AG24" s="1245">
        <v>103</v>
      </c>
      <c r="AH24" s="1245">
        <v>94</v>
      </c>
      <c r="AI24" s="1245">
        <v>24</v>
      </c>
      <c r="AJ24" s="1245">
        <v>934</v>
      </c>
      <c r="AK24" s="1245"/>
      <c r="AL24" s="1245"/>
      <c r="AM24" s="1245"/>
      <c r="AN24" s="1245">
        <v>40</v>
      </c>
      <c r="AO24" s="1245"/>
      <c r="AP24" s="1245"/>
      <c r="AQ24" s="1245"/>
      <c r="AR24" s="1245"/>
      <c r="AS24" s="1245"/>
      <c r="AT24" s="1245"/>
      <c r="AU24" s="1245"/>
      <c r="AV24" s="1245"/>
      <c r="AW24" s="1245"/>
      <c r="AX24" s="1245"/>
      <c r="AY24" s="1245"/>
      <c r="AZ24" s="1245"/>
      <c r="BA24" s="1245"/>
      <c r="BB24" s="1245"/>
      <c r="BC24" s="1245"/>
      <c r="BD24" s="1269"/>
      <c r="BE24" s="1269"/>
      <c r="BF24" s="1245">
        <v>1400</v>
      </c>
      <c r="BG24" s="1245">
        <f>+AC24+AE24</f>
        <v>127</v>
      </c>
      <c r="BH24" s="1245">
        <v>12</v>
      </c>
      <c r="BI24" s="1322">
        <f>+SUM(X24:X28)</f>
        <v>64100000</v>
      </c>
      <c r="BJ24" s="1322">
        <f>+SUM(Y24:Y28)</f>
        <v>17130000</v>
      </c>
      <c r="BK24" s="1273">
        <f>+BI24/S24</f>
        <v>0.3630640848380966</v>
      </c>
      <c r="BL24" s="1028" t="s">
        <v>812</v>
      </c>
      <c r="BM24" s="1245" t="s">
        <v>927</v>
      </c>
      <c r="BN24" s="1316">
        <v>43862</v>
      </c>
      <c r="BO24" s="1316">
        <v>43862</v>
      </c>
      <c r="BP24" s="1316">
        <v>44012</v>
      </c>
      <c r="BQ24" s="1316">
        <v>44012</v>
      </c>
      <c r="BR24" s="1318" t="s">
        <v>811</v>
      </c>
    </row>
    <row r="25" spans="1:70" s="777" customFormat="1" ht="55.5" customHeight="1">
      <c r="A25" s="984"/>
      <c r="B25" s="795"/>
      <c r="C25" s="796"/>
      <c r="D25" s="811"/>
      <c r="E25" s="812"/>
      <c r="F25" s="812"/>
      <c r="G25" s="811"/>
      <c r="H25" s="812"/>
      <c r="I25" s="812"/>
      <c r="J25" s="1236">
        <v>207</v>
      </c>
      <c r="K25" s="1324" t="s">
        <v>926</v>
      </c>
      <c r="L25" s="1264" t="s">
        <v>925</v>
      </c>
      <c r="M25" s="1231">
        <v>1</v>
      </c>
      <c r="N25" s="1231">
        <v>0</v>
      </c>
      <c r="O25" s="1028" t="s">
        <v>889</v>
      </c>
      <c r="P25" s="1232"/>
      <c r="Q25" s="1222"/>
      <c r="R25" s="813">
        <f>+W25/S24</f>
        <v>3.7115531630633011E-2</v>
      </c>
      <c r="S25" s="1242"/>
      <c r="T25" s="1222"/>
      <c r="U25" s="1222"/>
      <c r="V25" s="1231" t="s">
        <v>837</v>
      </c>
      <c r="W25" s="1041">
        <v>6552853</v>
      </c>
      <c r="X25" s="983">
        <v>4000000</v>
      </c>
      <c r="Y25" s="982">
        <v>1500000</v>
      </c>
      <c r="Z25" s="1031">
        <v>3</v>
      </c>
      <c r="AA25" s="1028" t="s">
        <v>810</v>
      </c>
      <c r="AB25" s="1261"/>
      <c r="AC25" s="1261"/>
      <c r="AD25" s="1261"/>
      <c r="AE25" s="1261"/>
      <c r="AF25" s="1261"/>
      <c r="AG25" s="1261"/>
      <c r="AH25" s="1261"/>
      <c r="AI25" s="1261"/>
      <c r="AJ25" s="1261"/>
      <c r="AK25" s="1261"/>
      <c r="AL25" s="1261"/>
      <c r="AM25" s="1261"/>
      <c r="AN25" s="1261"/>
      <c r="AO25" s="1261"/>
      <c r="AP25" s="1261"/>
      <c r="AQ25" s="1261"/>
      <c r="AR25" s="1261"/>
      <c r="AS25" s="1261"/>
      <c r="AT25" s="1261"/>
      <c r="AU25" s="1261"/>
      <c r="AV25" s="1261"/>
      <c r="AW25" s="1261"/>
      <c r="AX25" s="1261"/>
      <c r="AY25" s="1261"/>
      <c r="AZ25" s="1261"/>
      <c r="BA25" s="1261"/>
      <c r="BB25" s="1261"/>
      <c r="BC25" s="1261"/>
      <c r="BD25" s="1270"/>
      <c r="BE25" s="1270"/>
      <c r="BF25" s="1261"/>
      <c r="BG25" s="1261"/>
      <c r="BH25" s="1261"/>
      <c r="BI25" s="1323"/>
      <c r="BJ25" s="1323"/>
      <c r="BK25" s="1274"/>
      <c r="BL25" s="1028" t="s">
        <v>810</v>
      </c>
      <c r="BM25" s="1261"/>
      <c r="BN25" s="1317"/>
      <c r="BO25" s="1317"/>
      <c r="BP25" s="1317"/>
      <c r="BQ25" s="1317"/>
      <c r="BR25" s="1319"/>
    </row>
    <row r="26" spans="1:70" s="777" customFormat="1" ht="54" customHeight="1">
      <c r="A26" s="984"/>
      <c r="B26" s="795"/>
      <c r="C26" s="796"/>
      <c r="D26" s="811"/>
      <c r="E26" s="812"/>
      <c r="F26" s="812"/>
      <c r="G26" s="811"/>
      <c r="H26" s="812"/>
      <c r="I26" s="812"/>
      <c r="J26" s="1236"/>
      <c r="K26" s="1260"/>
      <c r="L26" s="1265"/>
      <c r="M26" s="1233"/>
      <c r="N26" s="1233"/>
      <c r="O26" s="946" t="s">
        <v>836</v>
      </c>
      <c r="P26" s="1232"/>
      <c r="Q26" s="1222"/>
      <c r="R26" s="813">
        <f>+W26/S24</f>
        <v>0.33984157707154128</v>
      </c>
      <c r="S26" s="1242"/>
      <c r="T26" s="1222"/>
      <c r="U26" s="1222"/>
      <c r="V26" s="1233"/>
      <c r="W26" s="1041">
        <v>60000000</v>
      </c>
      <c r="X26" s="983">
        <v>0</v>
      </c>
      <c r="Y26" s="983">
        <v>0</v>
      </c>
      <c r="Z26" s="814">
        <v>12</v>
      </c>
      <c r="AA26" s="946" t="s">
        <v>812</v>
      </c>
      <c r="AB26" s="1261"/>
      <c r="AC26" s="1261"/>
      <c r="AD26" s="1261"/>
      <c r="AE26" s="1261"/>
      <c r="AF26" s="1261"/>
      <c r="AG26" s="1261"/>
      <c r="AH26" s="1261"/>
      <c r="AI26" s="1261"/>
      <c r="AJ26" s="1261"/>
      <c r="AK26" s="1261"/>
      <c r="AL26" s="1261"/>
      <c r="AM26" s="1261"/>
      <c r="AN26" s="1261"/>
      <c r="AO26" s="1261"/>
      <c r="AP26" s="1261"/>
      <c r="AQ26" s="1261"/>
      <c r="AR26" s="1261"/>
      <c r="AS26" s="1261"/>
      <c r="AT26" s="1261"/>
      <c r="AU26" s="1261"/>
      <c r="AV26" s="1261"/>
      <c r="AW26" s="1261"/>
      <c r="AX26" s="1261"/>
      <c r="AY26" s="1261"/>
      <c r="AZ26" s="1261"/>
      <c r="BA26" s="1261"/>
      <c r="BB26" s="1261"/>
      <c r="BC26" s="1261"/>
      <c r="BD26" s="1270"/>
      <c r="BE26" s="1270"/>
      <c r="BF26" s="1261"/>
      <c r="BG26" s="1261"/>
      <c r="BH26" s="1261"/>
      <c r="BI26" s="1323"/>
      <c r="BJ26" s="1323"/>
      <c r="BK26" s="1274"/>
      <c r="BL26" s="1028" t="s">
        <v>812</v>
      </c>
      <c r="BM26" s="1261"/>
      <c r="BN26" s="1317"/>
      <c r="BO26" s="1317"/>
      <c r="BP26" s="1317"/>
      <c r="BQ26" s="1317"/>
      <c r="BR26" s="1319"/>
    </row>
    <row r="27" spans="1:70" s="777" customFormat="1" ht="48" customHeight="1">
      <c r="A27" s="984"/>
      <c r="B27" s="795"/>
      <c r="C27" s="796"/>
      <c r="D27" s="811"/>
      <c r="E27" s="812"/>
      <c r="F27" s="812"/>
      <c r="G27" s="811"/>
      <c r="H27" s="812"/>
      <c r="I27" s="812"/>
      <c r="J27" s="1236">
        <v>208</v>
      </c>
      <c r="K27" s="1229" t="s">
        <v>731</v>
      </c>
      <c r="L27" s="1229" t="s">
        <v>838</v>
      </c>
      <c r="M27" s="1236">
        <v>1</v>
      </c>
      <c r="N27" s="1236">
        <v>0</v>
      </c>
      <c r="O27" s="946" t="s">
        <v>839</v>
      </c>
      <c r="P27" s="1232"/>
      <c r="Q27" s="1222"/>
      <c r="R27" s="813">
        <f>+W27/S24</f>
        <v>0.16992078853577064</v>
      </c>
      <c r="S27" s="1242"/>
      <c r="T27" s="1222"/>
      <c r="U27" s="1222" t="s">
        <v>820</v>
      </c>
      <c r="V27" s="1237" t="s">
        <v>840</v>
      </c>
      <c r="W27" s="1041">
        <v>30000000</v>
      </c>
      <c r="X27" s="983">
        <v>3480000</v>
      </c>
      <c r="Y27" s="983">
        <v>2120000</v>
      </c>
      <c r="Z27" s="814">
        <v>4</v>
      </c>
      <c r="AA27" s="946" t="s">
        <v>815</v>
      </c>
      <c r="AB27" s="1261"/>
      <c r="AC27" s="1261"/>
      <c r="AD27" s="1261"/>
      <c r="AE27" s="1261"/>
      <c r="AF27" s="1261"/>
      <c r="AG27" s="1261"/>
      <c r="AH27" s="1261"/>
      <c r="AI27" s="1261"/>
      <c r="AJ27" s="1261"/>
      <c r="AK27" s="1261"/>
      <c r="AL27" s="1261"/>
      <c r="AM27" s="1261"/>
      <c r="AN27" s="1261"/>
      <c r="AO27" s="1261"/>
      <c r="AP27" s="1261"/>
      <c r="AQ27" s="1261"/>
      <c r="AR27" s="1261"/>
      <c r="AS27" s="1261"/>
      <c r="AT27" s="1261"/>
      <c r="AU27" s="1261"/>
      <c r="AV27" s="1261"/>
      <c r="AW27" s="1261"/>
      <c r="AX27" s="1261"/>
      <c r="AY27" s="1261"/>
      <c r="AZ27" s="1261"/>
      <c r="BA27" s="1261"/>
      <c r="BB27" s="1261"/>
      <c r="BC27" s="1261"/>
      <c r="BD27" s="1270"/>
      <c r="BE27" s="1270"/>
      <c r="BF27" s="1261"/>
      <c r="BG27" s="1261"/>
      <c r="BH27" s="1261"/>
      <c r="BI27" s="1323"/>
      <c r="BJ27" s="1323"/>
      <c r="BK27" s="1274"/>
      <c r="BL27" s="1028" t="s">
        <v>815</v>
      </c>
      <c r="BM27" s="1261"/>
      <c r="BN27" s="1317"/>
      <c r="BO27" s="1317"/>
      <c r="BP27" s="1317"/>
      <c r="BQ27" s="1317"/>
      <c r="BR27" s="1319"/>
    </row>
    <row r="28" spans="1:70" s="777" customFormat="1" ht="75" customHeight="1">
      <c r="A28" s="984"/>
      <c r="B28" s="795"/>
      <c r="C28" s="796"/>
      <c r="D28" s="811"/>
      <c r="E28" s="812"/>
      <c r="F28" s="812"/>
      <c r="G28" s="811"/>
      <c r="H28" s="812"/>
      <c r="I28" s="812"/>
      <c r="J28" s="1236"/>
      <c r="K28" s="1229"/>
      <c r="L28" s="1229"/>
      <c r="M28" s="1236"/>
      <c r="N28" s="1236"/>
      <c r="O28" s="946" t="s">
        <v>841</v>
      </c>
      <c r="P28" s="1232"/>
      <c r="Q28" s="1222"/>
      <c r="R28" s="813">
        <f>+W28/S24</f>
        <v>0.14160065711314221</v>
      </c>
      <c r="S28" s="1242"/>
      <c r="T28" s="1222"/>
      <c r="U28" s="1222" t="s">
        <v>820</v>
      </c>
      <c r="V28" s="1237"/>
      <c r="W28" s="948">
        <v>25000000</v>
      </c>
      <c r="X28" s="1000">
        <v>6000000</v>
      </c>
      <c r="Y28" s="982">
        <v>2500000</v>
      </c>
      <c r="Z28" s="814">
        <v>12</v>
      </c>
      <c r="AA28" s="946" t="s">
        <v>812</v>
      </c>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1261"/>
      <c r="BB28" s="1261"/>
      <c r="BC28" s="1261"/>
      <c r="BD28" s="1270"/>
      <c r="BE28" s="1270"/>
      <c r="BF28" s="1261"/>
      <c r="BG28" s="1261"/>
      <c r="BH28" s="1261"/>
      <c r="BI28" s="1323"/>
      <c r="BJ28" s="1323"/>
      <c r="BK28" s="1274"/>
      <c r="BL28" s="1028" t="s">
        <v>812</v>
      </c>
      <c r="BM28" s="1261"/>
      <c r="BN28" s="1317"/>
      <c r="BO28" s="1317"/>
      <c r="BP28" s="1317"/>
      <c r="BQ28" s="1317"/>
      <c r="BR28" s="1319"/>
    </row>
    <row r="29" spans="1:70" s="777" customFormat="1" ht="20.25" customHeight="1">
      <c r="A29" s="996"/>
      <c r="B29" s="785"/>
      <c r="C29" s="786"/>
      <c r="D29" s="787">
        <v>21</v>
      </c>
      <c r="E29" s="788" t="s">
        <v>732</v>
      </c>
      <c r="F29" s="788"/>
      <c r="G29" s="788"/>
      <c r="H29" s="788"/>
      <c r="I29" s="788"/>
      <c r="J29" s="788"/>
      <c r="K29" s="789"/>
      <c r="L29" s="788"/>
      <c r="M29" s="788"/>
      <c r="N29" s="788"/>
      <c r="O29" s="788"/>
      <c r="P29" s="790"/>
      <c r="Q29" s="789"/>
      <c r="R29" s="791"/>
      <c r="S29" s="792"/>
      <c r="T29" s="789" t="s">
        <v>820</v>
      </c>
      <c r="U29" s="789" t="s">
        <v>820</v>
      </c>
      <c r="V29" s="789"/>
      <c r="W29" s="995"/>
      <c r="X29" s="995"/>
      <c r="Y29" s="995"/>
      <c r="Z29" s="794"/>
      <c r="AA29" s="790"/>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8"/>
      <c r="AY29" s="788"/>
      <c r="AZ29" s="788"/>
      <c r="BA29" s="788"/>
      <c r="BB29" s="788"/>
      <c r="BC29" s="788"/>
      <c r="BD29" s="788"/>
      <c r="BE29" s="788"/>
      <c r="BF29" s="788"/>
      <c r="BG29" s="788"/>
      <c r="BH29" s="992"/>
      <c r="BI29" s="992"/>
      <c r="BJ29" s="992"/>
      <c r="BK29" s="994"/>
      <c r="BL29" s="790"/>
      <c r="BM29" s="992"/>
      <c r="BN29" s="991"/>
      <c r="BO29" s="991"/>
      <c r="BP29" s="991"/>
      <c r="BQ29" s="991"/>
      <c r="BR29" s="990"/>
    </row>
    <row r="30" spans="1:70" s="777" customFormat="1" ht="23.25" customHeight="1">
      <c r="A30" s="984"/>
      <c r="B30" s="795"/>
      <c r="C30" s="796"/>
      <c r="D30" s="811"/>
      <c r="E30" s="812"/>
      <c r="F30" s="812"/>
      <c r="G30" s="799">
        <v>72</v>
      </c>
      <c r="H30" s="800" t="s">
        <v>842</v>
      </c>
      <c r="I30" s="800"/>
      <c r="J30" s="800"/>
      <c r="K30" s="801"/>
      <c r="L30" s="800"/>
      <c r="M30" s="800"/>
      <c r="N30" s="800"/>
      <c r="O30" s="800"/>
      <c r="P30" s="802"/>
      <c r="Q30" s="801"/>
      <c r="R30" s="803"/>
      <c r="S30" s="804"/>
      <c r="T30" s="801" t="s">
        <v>820</v>
      </c>
      <c r="U30" s="801" t="s">
        <v>820</v>
      </c>
      <c r="V30" s="801"/>
      <c r="W30" s="989"/>
      <c r="X30" s="989"/>
      <c r="Y30" s="989"/>
      <c r="Z30" s="806"/>
      <c r="AA30" s="802"/>
      <c r="AB30" s="987"/>
      <c r="AC30" s="987"/>
      <c r="AD30" s="987"/>
      <c r="AE30" s="987"/>
      <c r="AF30" s="987"/>
      <c r="AG30" s="987"/>
      <c r="AH30" s="987"/>
      <c r="AI30" s="987"/>
      <c r="AJ30" s="987"/>
      <c r="AK30" s="987"/>
      <c r="AL30" s="987"/>
      <c r="AM30" s="987"/>
      <c r="AN30" s="987"/>
      <c r="AO30" s="987"/>
      <c r="AP30" s="987"/>
      <c r="AQ30" s="987"/>
      <c r="AR30" s="987"/>
      <c r="AS30" s="987"/>
      <c r="AT30" s="987"/>
      <c r="AU30" s="987"/>
      <c r="AV30" s="987"/>
      <c r="AW30" s="987"/>
      <c r="AX30" s="987"/>
      <c r="AY30" s="987"/>
      <c r="AZ30" s="987"/>
      <c r="BA30" s="987"/>
      <c r="BB30" s="987"/>
      <c r="BC30" s="987"/>
      <c r="BD30" s="987"/>
      <c r="BE30" s="987"/>
      <c r="BF30" s="987"/>
      <c r="BG30" s="987"/>
      <c r="BH30" s="987"/>
      <c r="BI30" s="987"/>
      <c r="BJ30" s="987"/>
      <c r="BK30" s="988"/>
      <c r="BL30" s="802"/>
      <c r="BM30" s="987"/>
      <c r="BN30" s="986"/>
      <c r="BO30" s="986"/>
      <c r="BP30" s="986"/>
      <c r="BQ30" s="986"/>
      <c r="BR30" s="985"/>
    </row>
    <row r="31" spans="1:70" s="777" customFormat="1" ht="96" customHeight="1">
      <c r="A31" s="984"/>
      <c r="B31" s="795"/>
      <c r="C31" s="796"/>
      <c r="D31" s="811"/>
      <c r="E31" s="812"/>
      <c r="F31" s="812"/>
      <c r="G31" s="811"/>
      <c r="H31" s="812"/>
      <c r="I31" s="812"/>
      <c r="J31" s="943">
        <v>209</v>
      </c>
      <c r="K31" s="945" t="s">
        <v>735</v>
      </c>
      <c r="L31" s="945" t="s">
        <v>843</v>
      </c>
      <c r="M31" s="1026">
        <v>1</v>
      </c>
      <c r="N31" s="943"/>
      <c r="O31" s="946" t="s">
        <v>844</v>
      </c>
      <c r="P31" s="1231" t="s">
        <v>736</v>
      </c>
      <c r="Q31" s="1221" t="s">
        <v>737</v>
      </c>
      <c r="R31" s="813">
        <f>+W31/$S$31</f>
        <v>0.23255813953488372</v>
      </c>
      <c r="S31" s="1234">
        <f>+SUM(W31:W35)</f>
        <v>129000000</v>
      </c>
      <c r="T31" s="1221" t="s">
        <v>845</v>
      </c>
      <c r="U31" s="1221" t="s">
        <v>846</v>
      </c>
      <c r="V31" s="941" t="s">
        <v>847</v>
      </c>
      <c r="W31" s="950">
        <v>30000000</v>
      </c>
      <c r="X31" s="889">
        <v>6400000</v>
      </c>
      <c r="Y31" s="869">
        <v>2200000</v>
      </c>
      <c r="Z31" s="942">
        <v>3</v>
      </c>
      <c r="AA31" s="944" t="s">
        <v>810</v>
      </c>
      <c r="AB31" s="1245">
        <v>1666</v>
      </c>
      <c r="AC31" s="1245">
        <f>86+53</f>
        <v>139</v>
      </c>
      <c r="AD31" s="1245">
        <v>1507</v>
      </c>
      <c r="AE31" s="1245">
        <f>84+35</f>
        <v>119</v>
      </c>
      <c r="AF31" s="1245">
        <v>1400</v>
      </c>
      <c r="AG31" s="1245">
        <f>70+88</f>
        <v>158</v>
      </c>
      <c r="AH31" s="1245">
        <v>350</v>
      </c>
      <c r="AI31" s="1245">
        <v>100</v>
      </c>
      <c r="AJ31" s="1245">
        <v>450</v>
      </c>
      <c r="AK31" s="1245"/>
      <c r="AL31" s="1245">
        <v>973</v>
      </c>
      <c r="AM31" s="1245"/>
      <c r="AN31" s="1245"/>
      <c r="AO31" s="1245"/>
      <c r="AP31" s="1245"/>
      <c r="AQ31" s="1245"/>
      <c r="AR31" s="1245"/>
      <c r="AS31" s="1245"/>
      <c r="AT31" s="1245"/>
      <c r="AU31" s="1245"/>
      <c r="AV31" s="1245"/>
      <c r="AW31" s="1245"/>
      <c r="AX31" s="1245"/>
      <c r="AY31" s="1245"/>
      <c r="AZ31" s="1245"/>
      <c r="BA31" s="1245"/>
      <c r="BB31" s="1245"/>
      <c r="BC31" s="1245"/>
      <c r="BD31" s="1269"/>
      <c r="BE31" s="1269"/>
      <c r="BF31" s="1245">
        <f>+AB31+AD31</f>
        <v>3173</v>
      </c>
      <c r="BG31" s="1245">
        <f>+AC31+AE31</f>
        <v>258</v>
      </c>
      <c r="BH31" s="1245">
        <v>4</v>
      </c>
      <c r="BI31" s="1322">
        <f>+SUM(X31:X35)</f>
        <v>33300000</v>
      </c>
      <c r="BJ31" s="1322">
        <f>+SUM(Y31:Y35)</f>
        <v>10600000</v>
      </c>
      <c r="BK31" s="1273">
        <f>+BI31/S31</f>
        <v>0.25813953488372093</v>
      </c>
      <c r="BL31" s="1027" t="s">
        <v>810</v>
      </c>
      <c r="BM31" s="1245" t="s">
        <v>924</v>
      </c>
      <c r="BN31" s="1316">
        <v>43862</v>
      </c>
      <c r="BO31" s="1316">
        <v>43862</v>
      </c>
      <c r="BP31" s="1316">
        <v>44012</v>
      </c>
      <c r="BQ31" s="1316">
        <v>44012</v>
      </c>
      <c r="BR31" s="1318" t="s">
        <v>811</v>
      </c>
    </row>
    <row r="32" spans="1:70" s="777" customFormat="1" ht="50.25" customHeight="1">
      <c r="A32" s="984"/>
      <c r="B32" s="795"/>
      <c r="C32" s="796"/>
      <c r="D32" s="811"/>
      <c r="E32" s="812"/>
      <c r="F32" s="812"/>
      <c r="G32" s="811"/>
      <c r="H32" s="812"/>
      <c r="I32" s="812"/>
      <c r="J32" s="1236">
        <v>210</v>
      </c>
      <c r="K32" s="1229" t="s">
        <v>738</v>
      </c>
      <c r="L32" s="1229" t="s">
        <v>848</v>
      </c>
      <c r="M32" s="1231">
        <v>1</v>
      </c>
      <c r="N32" s="1236">
        <v>0</v>
      </c>
      <c r="O32" s="946" t="s">
        <v>849</v>
      </c>
      <c r="P32" s="1232"/>
      <c r="Q32" s="1222"/>
      <c r="R32" s="813">
        <f>+W32/$S$31</f>
        <v>6.9767441860465115E-2</v>
      </c>
      <c r="S32" s="1241"/>
      <c r="T32" s="1222"/>
      <c r="U32" s="1222"/>
      <c r="V32" s="1237" t="s">
        <v>850</v>
      </c>
      <c r="W32" s="950">
        <v>9000000</v>
      </c>
      <c r="X32" s="889">
        <v>0</v>
      </c>
      <c r="Y32" s="840">
        <v>0</v>
      </c>
      <c r="Z32" s="942">
        <v>4</v>
      </c>
      <c r="AA32" s="944" t="s">
        <v>815</v>
      </c>
      <c r="AB32" s="1261"/>
      <c r="AC32" s="1261"/>
      <c r="AD32" s="1261"/>
      <c r="AE32" s="1261"/>
      <c r="AF32" s="1261"/>
      <c r="AG32" s="1261"/>
      <c r="AH32" s="1261"/>
      <c r="AI32" s="1261"/>
      <c r="AJ32" s="1261"/>
      <c r="AK32" s="1261"/>
      <c r="AL32" s="1261"/>
      <c r="AM32" s="1261"/>
      <c r="AN32" s="1261"/>
      <c r="AO32" s="1261"/>
      <c r="AP32" s="1261"/>
      <c r="AQ32" s="1261"/>
      <c r="AR32" s="1261"/>
      <c r="AS32" s="1261"/>
      <c r="AT32" s="1261"/>
      <c r="AU32" s="1261"/>
      <c r="AV32" s="1261"/>
      <c r="AW32" s="1261"/>
      <c r="AX32" s="1261"/>
      <c r="AY32" s="1261"/>
      <c r="AZ32" s="1261"/>
      <c r="BA32" s="1261"/>
      <c r="BB32" s="1261"/>
      <c r="BC32" s="1261"/>
      <c r="BD32" s="1270"/>
      <c r="BE32" s="1270"/>
      <c r="BF32" s="1261"/>
      <c r="BG32" s="1261"/>
      <c r="BH32" s="1261"/>
      <c r="BI32" s="1323"/>
      <c r="BJ32" s="1323"/>
      <c r="BK32" s="1274"/>
      <c r="BL32" s="1027" t="s">
        <v>815</v>
      </c>
      <c r="BM32" s="1261"/>
      <c r="BN32" s="1317"/>
      <c r="BO32" s="1317"/>
      <c r="BP32" s="1317"/>
      <c r="BQ32" s="1317"/>
      <c r="BR32" s="1319"/>
    </row>
    <row r="33" spans="1:70" s="777" customFormat="1" ht="68.25" customHeight="1">
      <c r="A33" s="984"/>
      <c r="B33" s="795"/>
      <c r="C33" s="796"/>
      <c r="D33" s="811"/>
      <c r="E33" s="812"/>
      <c r="F33" s="812"/>
      <c r="G33" s="811"/>
      <c r="H33" s="812"/>
      <c r="I33" s="812"/>
      <c r="J33" s="1236"/>
      <c r="K33" s="1229"/>
      <c r="L33" s="1229"/>
      <c r="M33" s="1233"/>
      <c r="N33" s="1236"/>
      <c r="O33" s="946" t="s">
        <v>851</v>
      </c>
      <c r="P33" s="1232"/>
      <c r="Q33" s="1222"/>
      <c r="R33" s="813">
        <f>+W33/$S$31</f>
        <v>0.19379844961240311</v>
      </c>
      <c r="S33" s="1241"/>
      <c r="T33" s="1222"/>
      <c r="U33" s="1222"/>
      <c r="V33" s="1237"/>
      <c r="W33" s="950">
        <v>25000000</v>
      </c>
      <c r="X33" s="889">
        <v>7400000</v>
      </c>
      <c r="Y33" s="840">
        <v>2200000</v>
      </c>
      <c r="Z33" s="942">
        <v>3</v>
      </c>
      <c r="AA33" s="944" t="s">
        <v>810</v>
      </c>
      <c r="AB33" s="1261"/>
      <c r="AC33" s="1261"/>
      <c r="AD33" s="1261"/>
      <c r="AE33" s="1261"/>
      <c r="AF33" s="1261"/>
      <c r="AG33" s="1261"/>
      <c r="AH33" s="1261"/>
      <c r="AI33" s="1261"/>
      <c r="AJ33" s="1261"/>
      <c r="AK33" s="1261"/>
      <c r="AL33" s="1261"/>
      <c r="AM33" s="1261"/>
      <c r="AN33" s="1261"/>
      <c r="AO33" s="1261"/>
      <c r="AP33" s="1261"/>
      <c r="AQ33" s="1261"/>
      <c r="AR33" s="1261"/>
      <c r="AS33" s="1261"/>
      <c r="AT33" s="1261"/>
      <c r="AU33" s="1261"/>
      <c r="AV33" s="1261"/>
      <c r="AW33" s="1261"/>
      <c r="AX33" s="1261"/>
      <c r="AY33" s="1261"/>
      <c r="AZ33" s="1261"/>
      <c r="BA33" s="1261"/>
      <c r="BB33" s="1261"/>
      <c r="BC33" s="1261"/>
      <c r="BD33" s="1270"/>
      <c r="BE33" s="1270"/>
      <c r="BF33" s="1261"/>
      <c r="BG33" s="1261"/>
      <c r="BH33" s="1261"/>
      <c r="BI33" s="1323"/>
      <c r="BJ33" s="1323"/>
      <c r="BK33" s="1274"/>
      <c r="BL33" s="1027" t="s">
        <v>810</v>
      </c>
      <c r="BM33" s="1261"/>
      <c r="BN33" s="1317"/>
      <c r="BO33" s="1317"/>
      <c r="BP33" s="1317"/>
      <c r="BQ33" s="1317"/>
      <c r="BR33" s="1319"/>
    </row>
    <row r="34" spans="1:70" s="777" customFormat="1" ht="68.25" customHeight="1">
      <c r="A34" s="984"/>
      <c r="B34" s="795"/>
      <c r="C34" s="796"/>
      <c r="D34" s="811"/>
      <c r="E34" s="812"/>
      <c r="F34" s="812"/>
      <c r="G34" s="811"/>
      <c r="H34" s="812"/>
      <c r="I34" s="812"/>
      <c r="J34" s="1231">
        <v>211</v>
      </c>
      <c r="K34" s="1354" t="s">
        <v>739</v>
      </c>
      <c r="L34" s="1229" t="s">
        <v>852</v>
      </c>
      <c r="M34" s="1231">
        <v>1</v>
      </c>
      <c r="N34" s="1231">
        <v>0</v>
      </c>
      <c r="O34" s="1028" t="s">
        <v>853</v>
      </c>
      <c r="P34" s="1232"/>
      <c r="Q34" s="1222"/>
      <c r="R34" s="813">
        <f>+W34/S31</f>
        <v>0.19379844961240311</v>
      </c>
      <c r="S34" s="1241"/>
      <c r="T34" s="1222"/>
      <c r="U34" s="1222"/>
      <c r="V34" s="1231" t="s">
        <v>854</v>
      </c>
      <c r="W34" s="1050">
        <v>25000000</v>
      </c>
      <c r="X34" s="889">
        <v>4000000</v>
      </c>
      <c r="Y34" s="840">
        <v>0</v>
      </c>
      <c r="Z34" s="1025">
        <v>3</v>
      </c>
      <c r="AA34" s="1033" t="s">
        <v>810</v>
      </c>
      <c r="AB34" s="1261"/>
      <c r="AC34" s="1261"/>
      <c r="AD34" s="1261"/>
      <c r="AE34" s="1261"/>
      <c r="AF34" s="1261"/>
      <c r="AG34" s="1261"/>
      <c r="AH34" s="1261"/>
      <c r="AI34" s="1261"/>
      <c r="AJ34" s="1261"/>
      <c r="AK34" s="1261"/>
      <c r="AL34" s="1261"/>
      <c r="AM34" s="1261"/>
      <c r="AN34" s="1261"/>
      <c r="AO34" s="1261"/>
      <c r="AP34" s="1261"/>
      <c r="AQ34" s="1261"/>
      <c r="AR34" s="1261"/>
      <c r="AS34" s="1261"/>
      <c r="AT34" s="1261"/>
      <c r="AU34" s="1261"/>
      <c r="AV34" s="1261"/>
      <c r="AW34" s="1261"/>
      <c r="AX34" s="1261"/>
      <c r="AY34" s="1261"/>
      <c r="AZ34" s="1261"/>
      <c r="BA34" s="1261"/>
      <c r="BB34" s="1261"/>
      <c r="BC34" s="1261"/>
      <c r="BD34" s="1270"/>
      <c r="BE34" s="1270"/>
      <c r="BF34" s="1261"/>
      <c r="BG34" s="1261"/>
      <c r="BH34" s="1261"/>
      <c r="BI34" s="1323"/>
      <c r="BJ34" s="1323"/>
      <c r="BK34" s="1274"/>
      <c r="BL34" s="1033" t="s">
        <v>810</v>
      </c>
      <c r="BM34" s="1261"/>
      <c r="BN34" s="1317"/>
      <c r="BO34" s="1317"/>
      <c r="BP34" s="1317"/>
      <c r="BQ34" s="1317"/>
      <c r="BR34" s="1319"/>
    </row>
    <row r="35" spans="1:70" s="777" customFormat="1" ht="57.75" customHeight="1">
      <c r="A35" s="984"/>
      <c r="B35" s="795"/>
      <c r="C35" s="796"/>
      <c r="D35" s="811"/>
      <c r="E35" s="812"/>
      <c r="F35" s="812"/>
      <c r="G35" s="811"/>
      <c r="H35" s="812"/>
      <c r="I35" s="812"/>
      <c r="J35" s="1233"/>
      <c r="K35" s="1354"/>
      <c r="L35" s="1229"/>
      <c r="M35" s="1233"/>
      <c r="N35" s="1233"/>
      <c r="O35" s="1028" t="s">
        <v>897</v>
      </c>
      <c r="P35" s="1232"/>
      <c r="Q35" s="1222"/>
      <c r="R35" s="813">
        <f>+W35/S31</f>
        <v>0.31007751937984496</v>
      </c>
      <c r="S35" s="1241"/>
      <c r="T35" s="1222"/>
      <c r="U35" s="1222"/>
      <c r="V35" s="1233"/>
      <c r="W35" s="1038">
        <v>40000000</v>
      </c>
      <c r="X35" s="958">
        <v>15500000</v>
      </c>
      <c r="Y35" s="841">
        <v>6200000</v>
      </c>
      <c r="Z35" s="1031">
        <v>12</v>
      </c>
      <c r="AA35" s="1034" t="s">
        <v>812</v>
      </c>
      <c r="AB35" s="1261"/>
      <c r="AC35" s="1261"/>
      <c r="AD35" s="1261"/>
      <c r="AE35" s="1261"/>
      <c r="AF35" s="1261"/>
      <c r="AG35" s="1261"/>
      <c r="AH35" s="1261"/>
      <c r="AI35" s="1261"/>
      <c r="AJ35" s="1261"/>
      <c r="AK35" s="1261"/>
      <c r="AL35" s="1261"/>
      <c r="AM35" s="1261"/>
      <c r="AN35" s="1261"/>
      <c r="AO35" s="1261"/>
      <c r="AP35" s="1261"/>
      <c r="AQ35" s="1261"/>
      <c r="AR35" s="1261"/>
      <c r="AS35" s="1261"/>
      <c r="AT35" s="1261"/>
      <c r="AU35" s="1261"/>
      <c r="AV35" s="1261"/>
      <c r="AW35" s="1261"/>
      <c r="AX35" s="1261"/>
      <c r="AY35" s="1261"/>
      <c r="AZ35" s="1261"/>
      <c r="BA35" s="1261"/>
      <c r="BB35" s="1261"/>
      <c r="BC35" s="1261"/>
      <c r="BD35" s="1270"/>
      <c r="BE35" s="1270"/>
      <c r="BF35" s="1261"/>
      <c r="BG35" s="1261"/>
      <c r="BH35" s="1261"/>
      <c r="BI35" s="1323"/>
      <c r="BJ35" s="1323"/>
      <c r="BK35" s="1274"/>
      <c r="BL35" s="1034" t="s">
        <v>812</v>
      </c>
      <c r="BM35" s="1261"/>
      <c r="BN35" s="1317"/>
      <c r="BO35" s="1317"/>
      <c r="BP35" s="1317"/>
      <c r="BQ35" s="1317"/>
      <c r="BR35" s="1319"/>
    </row>
    <row r="36" spans="1:70" s="777" customFormat="1" ht="23.25" customHeight="1">
      <c r="A36" s="984"/>
      <c r="B36" s="795"/>
      <c r="C36" s="796"/>
      <c r="D36" s="811"/>
      <c r="E36" s="812"/>
      <c r="F36" s="812"/>
      <c r="G36" s="799">
        <v>73</v>
      </c>
      <c r="H36" s="800" t="s">
        <v>855</v>
      </c>
      <c r="I36" s="800"/>
      <c r="J36" s="800"/>
      <c r="K36" s="801"/>
      <c r="L36" s="800"/>
      <c r="M36" s="800"/>
      <c r="N36" s="800"/>
      <c r="O36" s="998"/>
      <c r="P36" s="802"/>
      <c r="Q36" s="801"/>
      <c r="R36" s="803"/>
      <c r="S36" s="804"/>
      <c r="T36" s="801" t="s">
        <v>820</v>
      </c>
      <c r="U36" s="801" t="s">
        <v>820</v>
      </c>
      <c r="V36" s="801"/>
      <c r="W36" s="997"/>
      <c r="X36" s="989"/>
      <c r="Y36" s="989"/>
      <c r="Z36" s="806"/>
      <c r="AA36" s="802"/>
      <c r="AB36" s="987"/>
      <c r="AC36" s="987"/>
      <c r="AD36" s="987"/>
      <c r="AE36" s="987"/>
      <c r="AF36" s="987"/>
      <c r="AG36" s="987"/>
      <c r="AH36" s="987"/>
      <c r="AI36" s="987"/>
      <c r="AJ36" s="987"/>
      <c r="AK36" s="987"/>
      <c r="AL36" s="987"/>
      <c r="AM36" s="987"/>
      <c r="AN36" s="987"/>
      <c r="AO36" s="987"/>
      <c r="AP36" s="987"/>
      <c r="AQ36" s="987"/>
      <c r="AR36" s="987"/>
      <c r="AS36" s="987"/>
      <c r="AT36" s="987"/>
      <c r="AU36" s="987"/>
      <c r="AV36" s="987"/>
      <c r="AW36" s="987"/>
      <c r="AX36" s="987"/>
      <c r="AY36" s="987"/>
      <c r="AZ36" s="987"/>
      <c r="BA36" s="987"/>
      <c r="BB36" s="987"/>
      <c r="BC36" s="987"/>
      <c r="BD36" s="987"/>
      <c r="BE36" s="987"/>
      <c r="BF36" s="987"/>
      <c r="BG36" s="987"/>
      <c r="BH36" s="987"/>
      <c r="BI36" s="987"/>
      <c r="BJ36" s="987"/>
      <c r="BK36" s="988"/>
      <c r="BL36" s="802"/>
      <c r="BM36" s="987"/>
      <c r="BN36" s="986"/>
      <c r="BO36" s="986"/>
      <c r="BP36" s="986"/>
      <c r="BQ36" s="986"/>
      <c r="BR36" s="985"/>
    </row>
    <row r="37" spans="1:70" s="777" customFormat="1" ht="57.75" customHeight="1">
      <c r="A37" s="984"/>
      <c r="B37" s="795"/>
      <c r="C37" s="796"/>
      <c r="D37" s="811"/>
      <c r="E37" s="812"/>
      <c r="F37" s="812"/>
      <c r="G37" s="1254"/>
      <c r="H37" s="1255"/>
      <c r="I37" s="1255"/>
      <c r="J37" s="1236">
        <v>212</v>
      </c>
      <c r="K37" s="1236" t="s">
        <v>741</v>
      </c>
      <c r="L37" s="1229" t="s">
        <v>856</v>
      </c>
      <c r="M37" s="1355">
        <v>12</v>
      </c>
      <c r="N37" s="1258">
        <v>1</v>
      </c>
      <c r="O37" s="1048" t="s">
        <v>897</v>
      </c>
      <c r="P37" s="1355" t="s">
        <v>742</v>
      </c>
      <c r="Q37" s="1258" t="s">
        <v>858</v>
      </c>
      <c r="R37" s="1055" t="s">
        <v>950</v>
      </c>
      <c r="S37" s="1242">
        <f>SUM(W37:W38)</f>
        <v>50000000</v>
      </c>
      <c r="T37" s="1355" t="s">
        <v>859</v>
      </c>
      <c r="U37" s="1258" t="s">
        <v>860</v>
      </c>
      <c r="V37" s="1360" t="s">
        <v>861</v>
      </c>
      <c r="W37" s="1037">
        <v>10000000</v>
      </c>
      <c r="X37" s="958">
        <v>0</v>
      </c>
      <c r="Y37" s="841">
        <v>0</v>
      </c>
      <c r="Z37" s="1051">
        <v>12</v>
      </c>
      <c r="AA37" s="1034" t="s">
        <v>812</v>
      </c>
      <c r="AB37" s="1268">
        <v>3380</v>
      </c>
      <c r="AC37" s="1357">
        <v>162</v>
      </c>
      <c r="AD37" s="1268">
        <v>460</v>
      </c>
      <c r="AE37" s="1357">
        <v>92</v>
      </c>
      <c r="AF37" s="1357"/>
      <c r="AG37" s="1357"/>
      <c r="AH37" s="1357"/>
      <c r="AI37" s="1357"/>
      <c r="AJ37" s="1268">
        <v>3840</v>
      </c>
      <c r="AK37" s="1268">
        <v>120</v>
      </c>
      <c r="AL37" s="1357"/>
      <c r="AM37" s="1268">
        <v>134</v>
      </c>
      <c r="AN37" s="1357"/>
      <c r="AO37" s="1357"/>
      <c r="AP37" s="1357"/>
      <c r="AQ37" s="1357"/>
      <c r="AR37" s="1357"/>
      <c r="AS37" s="1357"/>
      <c r="AT37" s="1357"/>
      <c r="AU37" s="1357"/>
      <c r="AV37" s="1357"/>
      <c r="AW37" s="1357"/>
      <c r="AX37" s="1357"/>
      <c r="AY37" s="1357"/>
      <c r="AZ37" s="1357"/>
      <c r="BA37" s="1357"/>
      <c r="BB37" s="1357"/>
      <c r="BC37" s="1357"/>
      <c r="BD37" s="1357"/>
      <c r="BE37" s="1357"/>
      <c r="BF37" s="1268">
        <f>+AD37+AB37</f>
        <v>3840</v>
      </c>
      <c r="BG37" s="1268">
        <f>+AC37+AE37</f>
        <v>254</v>
      </c>
      <c r="BH37" s="1268">
        <v>7</v>
      </c>
      <c r="BI37" s="1362">
        <f>+SUM(X38:X38)</f>
        <v>30633333</v>
      </c>
      <c r="BJ37" s="1362">
        <f>+SUM(Y38:Y38)</f>
        <v>14883333</v>
      </c>
      <c r="BK37" s="1327">
        <f>+BI37/S37</f>
        <v>0.61266666000000003</v>
      </c>
      <c r="BL37" s="1236" t="s">
        <v>810</v>
      </c>
      <c r="BM37" s="1268" t="s">
        <v>924</v>
      </c>
      <c r="BN37" s="1328">
        <v>43862</v>
      </c>
      <c r="BO37" s="1328">
        <v>43862</v>
      </c>
      <c r="BP37" s="1328">
        <v>44012</v>
      </c>
      <c r="BQ37" s="1328">
        <v>44012</v>
      </c>
      <c r="BR37" s="1362" t="s">
        <v>811</v>
      </c>
    </row>
    <row r="38" spans="1:70" s="777" customFormat="1" ht="82.5" customHeight="1">
      <c r="A38" s="984"/>
      <c r="B38" s="795"/>
      <c r="C38" s="796"/>
      <c r="D38" s="811"/>
      <c r="E38" s="812"/>
      <c r="F38" s="812"/>
      <c r="G38" s="1256"/>
      <c r="H38" s="1257"/>
      <c r="I38" s="1257"/>
      <c r="J38" s="1236"/>
      <c r="K38" s="1236"/>
      <c r="L38" s="1229"/>
      <c r="M38" s="1356"/>
      <c r="N38" s="1259"/>
      <c r="O38" s="946" t="s">
        <v>857</v>
      </c>
      <c r="P38" s="1356"/>
      <c r="Q38" s="1259"/>
      <c r="R38" s="1055">
        <f>+W38/$S$37</f>
        <v>0.8</v>
      </c>
      <c r="S38" s="1242"/>
      <c r="T38" s="1358"/>
      <c r="U38" s="1359"/>
      <c r="V38" s="1361"/>
      <c r="W38" s="1049">
        <v>40000000</v>
      </c>
      <c r="X38" s="889">
        <v>30633333</v>
      </c>
      <c r="Y38" s="840">
        <v>14883333</v>
      </c>
      <c r="Z38" s="814">
        <v>3</v>
      </c>
      <c r="AA38" s="1056" t="s">
        <v>810</v>
      </c>
      <c r="AB38" s="1268"/>
      <c r="AC38" s="1357"/>
      <c r="AD38" s="1268"/>
      <c r="AE38" s="1357"/>
      <c r="AF38" s="1357"/>
      <c r="AG38" s="1357"/>
      <c r="AH38" s="1357"/>
      <c r="AI38" s="1357"/>
      <c r="AJ38" s="1268"/>
      <c r="AK38" s="1268"/>
      <c r="AL38" s="1357"/>
      <c r="AM38" s="1268"/>
      <c r="AN38" s="1357"/>
      <c r="AO38" s="1357"/>
      <c r="AP38" s="1357"/>
      <c r="AQ38" s="1357"/>
      <c r="AR38" s="1357"/>
      <c r="AS38" s="1357"/>
      <c r="AT38" s="1357"/>
      <c r="AU38" s="1357"/>
      <c r="AV38" s="1357"/>
      <c r="AW38" s="1357"/>
      <c r="AX38" s="1357"/>
      <c r="AY38" s="1357"/>
      <c r="AZ38" s="1357"/>
      <c r="BA38" s="1357"/>
      <c r="BB38" s="1357"/>
      <c r="BC38" s="1357"/>
      <c r="BD38" s="1357"/>
      <c r="BE38" s="1357"/>
      <c r="BF38" s="1268"/>
      <c r="BG38" s="1268"/>
      <c r="BH38" s="1268"/>
      <c r="BI38" s="1362"/>
      <c r="BJ38" s="1362"/>
      <c r="BK38" s="1327"/>
      <c r="BL38" s="1236"/>
      <c r="BM38" s="1268"/>
      <c r="BN38" s="1328"/>
      <c r="BO38" s="1328"/>
      <c r="BP38" s="1328"/>
      <c r="BQ38" s="1328"/>
      <c r="BR38" s="1362"/>
    </row>
    <row r="39" spans="1:70" s="777" customFormat="1" ht="20.25" customHeight="1">
      <c r="A39" s="996"/>
      <c r="B39" s="785"/>
      <c r="C39" s="786"/>
      <c r="D39" s="787">
        <v>22</v>
      </c>
      <c r="E39" s="788" t="s">
        <v>744</v>
      </c>
      <c r="F39" s="788"/>
      <c r="G39" s="788"/>
      <c r="H39" s="788"/>
      <c r="I39" s="788"/>
      <c r="J39" s="788"/>
      <c r="K39" s="789"/>
      <c r="L39" s="788"/>
      <c r="M39" s="788"/>
      <c r="N39" s="788"/>
      <c r="O39" s="788"/>
      <c r="P39" s="790"/>
      <c r="Q39" s="789"/>
      <c r="R39" s="791"/>
      <c r="S39" s="792"/>
      <c r="T39" s="789" t="s">
        <v>820</v>
      </c>
      <c r="U39" s="789" t="s">
        <v>820</v>
      </c>
      <c r="V39" s="789"/>
      <c r="W39" s="995"/>
      <c r="X39" s="995"/>
      <c r="Y39" s="995"/>
      <c r="Z39" s="794"/>
      <c r="AA39" s="790"/>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8"/>
      <c r="AY39" s="788"/>
      <c r="AZ39" s="788"/>
      <c r="BA39" s="788"/>
      <c r="BB39" s="788"/>
      <c r="BC39" s="788"/>
      <c r="BD39" s="788"/>
      <c r="BE39" s="788"/>
      <c r="BF39" s="788"/>
      <c r="BG39" s="788"/>
      <c r="BH39" s="992"/>
      <c r="BI39" s="992"/>
      <c r="BJ39" s="992"/>
      <c r="BK39" s="994"/>
      <c r="BL39" s="1057"/>
      <c r="BM39" s="992"/>
      <c r="BN39" s="991"/>
      <c r="BO39" s="991"/>
      <c r="BP39" s="991"/>
      <c r="BQ39" s="991"/>
      <c r="BR39" s="990"/>
    </row>
    <row r="40" spans="1:70" s="777" customFormat="1" ht="23.25" customHeight="1">
      <c r="A40" s="984"/>
      <c r="B40" s="795"/>
      <c r="C40" s="796"/>
      <c r="D40" s="811"/>
      <c r="E40" s="812"/>
      <c r="F40" s="812"/>
      <c r="G40" s="799">
        <v>74</v>
      </c>
      <c r="H40" s="800" t="s">
        <v>855</v>
      </c>
      <c r="I40" s="800"/>
      <c r="J40" s="800"/>
      <c r="K40" s="801"/>
      <c r="L40" s="800"/>
      <c r="M40" s="800"/>
      <c r="N40" s="800"/>
      <c r="O40" s="800"/>
      <c r="P40" s="802"/>
      <c r="Q40" s="801"/>
      <c r="R40" s="803"/>
      <c r="S40" s="804"/>
      <c r="T40" s="801" t="s">
        <v>820</v>
      </c>
      <c r="U40" s="801" t="s">
        <v>820</v>
      </c>
      <c r="V40" s="801"/>
      <c r="W40" s="989"/>
      <c r="X40" s="989"/>
      <c r="Y40" s="989"/>
      <c r="Z40" s="806"/>
      <c r="AA40" s="802"/>
      <c r="AB40" s="987"/>
      <c r="AC40" s="987"/>
      <c r="AD40" s="987"/>
      <c r="AE40" s="987"/>
      <c r="AF40" s="987"/>
      <c r="AG40" s="987"/>
      <c r="AH40" s="987"/>
      <c r="AI40" s="987"/>
      <c r="AJ40" s="987"/>
      <c r="AK40" s="987"/>
      <c r="AL40" s="987"/>
      <c r="AM40" s="987"/>
      <c r="AN40" s="987"/>
      <c r="AO40" s="987"/>
      <c r="AP40" s="987"/>
      <c r="AQ40" s="987"/>
      <c r="AR40" s="987"/>
      <c r="AS40" s="987"/>
      <c r="AT40" s="987"/>
      <c r="AU40" s="987"/>
      <c r="AV40" s="987"/>
      <c r="AW40" s="987"/>
      <c r="AX40" s="987"/>
      <c r="AY40" s="987"/>
      <c r="AZ40" s="987"/>
      <c r="BA40" s="987"/>
      <c r="BB40" s="987"/>
      <c r="BC40" s="987"/>
      <c r="BD40" s="987"/>
      <c r="BE40" s="987"/>
      <c r="BF40" s="987"/>
      <c r="BG40" s="987"/>
      <c r="BH40" s="987"/>
      <c r="BI40" s="987"/>
      <c r="BJ40" s="987"/>
      <c r="BK40" s="988"/>
      <c r="BL40" s="987"/>
      <c r="BM40" s="987"/>
      <c r="BN40" s="986"/>
      <c r="BO40" s="986"/>
      <c r="BP40" s="986"/>
      <c r="BQ40" s="986"/>
      <c r="BR40" s="985"/>
    </row>
    <row r="41" spans="1:70" s="777" customFormat="1" ht="72.75" customHeight="1">
      <c r="A41" s="984"/>
      <c r="B41" s="795"/>
      <c r="C41" s="796"/>
      <c r="D41" s="811"/>
      <c r="E41" s="812"/>
      <c r="F41" s="812"/>
      <c r="G41" s="811"/>
      <c r="H41" s="812"/>
      <c r="I41" s="812"/>
      <c r="J41" s="1231">
        <v>213</v>
      </c>
      <c r="K41" s="1221" t="s">
        <v>746</v>
      </c>
      <c r="L41" s="1252" t="s">
        <v>862</v>
      </c>
      <c r="M41" s="1231">
        <v>12</v>
      </c>
      <c r="N41" s="1231">
        <v>7</v>
      </c>
      <c r="O41" s="1231" t="s">
        <v>863</v>
      </c>
      <c r="P41" s="1231" t="s">
        <v>747</v>
      </c>
      <c r="Q41" s="1248" t="s">
        <v>748</v>
      </c>
      <c r="R41" s="1250">
        <f>+W41/S41</f>
        <v>1</v>
      </c>
      <c r="S41" s="1234">
        <v>20000000</v>
      </c>
      <c r="T41" s="1221" t="s">
        <v>864</v>
      </c>
      <c r="U41" s="1221" t="s">
        <v>865</v>
      </c>
      <c r="V41" s="1221" t="s">
        <v>861</v>
      </c>
      <c r="W41" s="1234">
        <v>20000000</v>
      </c>
      <c r="X41" s="1320">
        <v>19360000</v>
      </c>
      <c r="Y41" s="1320">
        <v>4580000</v>
      </c>
      <c r="Z41" s="1245">
        <v>4</v>
      </c>
      <c r="AA41" s="1231" t="s">
        <v>815</v>
      </c>
      <c r="AB41" s="1245">
        <v>1700</v>
      </c>
      <c r="AC41" s="1245">
        <v>34</v>
      </c>
      <c r="AD41" s="1245">
        <v>1500</v>
      </c>
      <c r="AE41" s="1245">
        <v>93</v>
      </c>
      <c r="AF41" s="1245">
        <v>1800</v>
      </c>
      <c r="AG41" s="1245">
        <v>103</v>
      </c>
      <c r="AH41" s="1245">
        <v>1000</v>
      </c>
      <c r="AI41" s="1245">
        <v>24</v>
      </c>
      <c r="AJ41" s="1245">
        <v>400</v>
      </c>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v>3200</v>
      </c>
      <c r="BG41" s="1245">
        <f>+AC41+AE41</f>
        <v>127</v>
      </c>
      <c r="BH41" s="1245">
        <v>8</v>
      </c>
      <c r="BI41" s="1271">
        <f>+SUM(X41:X42)</f>
        <v>19360000</v>
      </c>
      <c r="BJ41" s="1245">
        <f>+SUM(Y41:Y42)</f>
        <v>4580000</v>
      </c>
      <c r="BK41" s="1273">
        <f>+BI41/S41</f>
        <v>0.96799999999999997</v>
      </c>
      <c r="BL41" s="1231" t="s">
        <v>815</v>
      </c>
      <c r="BM41" s="1245" t="s">
        <v>924</v>
      </c>
      <c r="BN41" s="1316">
        <v>43862</v>
      </c>
      <c r="BO41" s="1316">
        <v>43862</v>
      </c>
      <c r="BP41" s="1316">
        <v>44012</v>
      </c>
      <c r="BQ41" s="1316">
        <v>44012</v>
      </c>
      <c r="BR41" s="1224" t="s">
        <v>922</v>
      </c>
    </row>
    <row r="42" spans="1:70" s="777" customFormat="1" ht="66" customHeight="1" thickBot="1">
      <c r="A42" s="984"/>
      <c r="B42" s="795"/>
      <c r="C42" s="796"/>
      <c r="D42" s="811"/>
      <c r="E42" s="812"/>
      <c r="F42" s="812"/>
      <c r="G42" s="811"/>
      <c r="H42" s="812"/>
      <c r="I42" s="812"/>
      <c r="J42" s="1247"/>
      <c r="K42" s="1243"/>
      <c r="L42" s="1253"/>
      <c r="M42" s="1232"/>
      <c r="N42" s="1232"/>
      <c r="O42" s="1247"/>
      <c r="P42" s="1232"/>
      <c r="Q42" s="1249"/>
      <c r="R42" s="1251"/>
      <c r="S42" s="1241"/>
      <c r="T42" s="1222"/>
      <c r="U42" s="1222"/>
      <c r="V42" s="1243"/>
      <c r="W42" s="1244"/>
      <c r="X42" s="1321"/>
      <c r="Y42" s="1321"/>
      <c r="Z42" s="1246"/>
      <c r="AA42" s="1233"/>
      <c r="AB42" s="1261"/>
      <c r="AC42" s="1261"/>
      <c r="AD42" s="1261"/>
      <c r="AE42" s="1261"/>
      <c r="AF42" s="1261"/>
      <c r="AG42" s="1261"/>
      <c r="AH42" s="1261"/>
      <c r="AI42" s="1261"/>
      <c r="AJ42" s="1261"/>
      <c r="AK42" s="1261"/>
      <c r="AL42" s="1261"/>
      <c r="AM42" s="1261"/>
      <c r="AN42" s="1261"/>
      <c r="AO42" s="1261"/>
      <c r="AP42" s="1261"/>
      <c r="AQ42" s="1261"/>
      <c r="AR42" s="1261"/>
      <c r="AS42" s="1261"/>
      <c r="AT42" s="1261"/>
      <c r="AU42" s="1261"/>
      <c r="AV42" s="1261"/>
      <c r="AW42" s="1261"/>
      <c r="AX42" s="1261"/>
      <c r="AY42" s="1261"/>
      <c r="AZ42" s="1261"/>
      <c r="BA42" s="1261"/>
      <c r="BB42" s="1261"/>
      <c r="BC42" s="1261"/>
      <c r="BD42" s="1261"/>
      <c r="BE42" s="1261"/>
      <c r="BF42" s="1261"/>
      <c r="BG42" s="1261"/>
      <c r="BH42" s="1261"/>
      <c r="BI42" s="1272"/>
      <c r="BJ42" s="1261"/>
      <c r="BK42" s="1274"/>
      <c r="BL42" s="1233"/>
      <c r="BM42" s="1261"/>
      <c r="BN42" s="1317"/>
      <c r="BO42" s="1317"/>
      <c r="BP42" s="1317"/>
      <c r="BQ42" s="1317"/>
      <c r="BR42" s="1225"/>
    </row>
    <row r="43" spans="1:70" ht="15">
      <c r="A43" s="981"/>
      <c r="B43" s="972"/>
      <c r="C43" s="972"/>
      <c r="D43" s="972"/>
      <c r="E43" s="972"/>
      <c r="F43" s="972"/>
      <c r="G43" s="972"/>
      <c r="H43" s="972"/>
      <c r="I43" s="972"/>
      <c r="J43" s="972"/>
      <c r="K43" s="977"/>
      <c r="L43" s="980"/>
      <c r="M43" s="980"/>
      <c r="N43" s="980"/>
      <c r="O43" s="980"/>
      <c r="P43" s="979"/>
      <c r="Q43" s="977"/>
      <c r="R43" s="978"/>
      <c r="S43" s="1024">
        <f>+S41+S37+S31+S24+S21+S18+S13</f>
        <v>1583485471</v>
      </c>
      <c r="T43" s="977"/>
      <c r="U43" s="977"/>
      <c r="V43" s="976"/>
      <c r="W43" s="975">
        <f>+W41+W38+W35+W34+W33+W32+W31+W28+W27+W26+W25+W24+W22+W21+W19+W18+W16+W15+W14+W13</f>
        <v>1573485471</v>
      </c>
      <c r="X43" s="975" t="e">
        <f>+X41+X38+X35+X34+X33+X32+X31+X28+X27+X26+X25+X24+X22+X21+X19+X18+X16+X15+X13+#REF!</f>
        <v>#REF!</v>
      </c>
      <c r="Y43" s="975">
        <f>+Y41+Y38+Y35+Y34+Y33+Y32+Y31+Y28+Y27+Y26+Y25+Y24+Y22+Y21+Y19+Y18+Y16+Y15+X14+Y14</f>
        <v>128728924</v>
      </c>
      <c r="Z43" s="974"/>
      <c r="AA43" s="973"/>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2"/>
      <c r="AY43" s="972"/>
      <c r="AZ43" s="972"/>
      <c r="BA43" s="972"/>
      <c r="BB43" s="972"/>
      <c r="BC43" s="972"/>
      <c r="BD43" s="972"/>
      <c r="BE43" s="972"/>
      <c r="BF43" s="972"/>
      <c r="BG43" s="968"/>
      <c r="BH43" s="971"/>
      <c r="BI43" s="970"/>
      <c r="BJ43" s="970"/>
      <c r="BK43" s="969"/>
      <c r="BL43" s="968"/>
      <c r="BM43" s="967"/>
      <c r="BN43" s="967"/>
      <c r="BO43" s="966"/>
      <c r="BP43" s="966"/>
      <c r="BQ43" s="965"/>
      <c r="BR43" s="964"/>
    </row>
    <row r="46" spans="1:70" ht="42.75" customHeight="1">
      <c r="F46" s="1263" t="s">
        <v>943</v>
      </c>
      <c r="G46" s="1263"/>
      <c r="H46" s="1263"/>
      <c r="I46" s="1263"/>
      <c r="J46" s="1263"/>
    </row>
    <row r="47" spans="1:70" ht="21" customHeight="1">
      <c r="F47" s="1262" t="s">
        <v>942</v>
      </c>
      <c r="G47" s="1262"/>
      <c r="H47" s="1262"/>
      <c r="I47" s="1262"/>
    </row>
    <row r="48" spans="1:70" ht="29.25" customHeight="1">
      <c r="F48" s="1262" t="s">
        <v>944</v>
      </c>
      <c r="G48" s="1262"/>
      <c r="H48" s="1262"/>
      <c r="I48" s="1262"/>
    </row>
    <row r="49" spans="19:25" ht="20.25">
      <c r="S49" s="963"/>
      <c r="T49" s="963"/>
      <c r="U49" s="963"/>
      <c r="V49" s="963"/>
      <c r="W49" s="962"/>
      <c r="X49" s="962"/>
      <c r="Y49" s="962"/>
    </row>
  </sheetData>
  <mergeCells count="420">
    <mergeCell ref="AJ37:AJ38"/>
    <mergeCell ref="AK37:AK38"/>
    <mergeCell ref="AL37:AL38"/>
    <mergeCell ref="AM37:AM38"/>
    <mergeCell ref="AN37:AN38"/>
    <mergeCell ref="AO37:AO38"/>
    <mergeCell ref="AP37:AP38"/>
    <mergeCell ref="BF37:BF38"/>
    <mergeCell ref="BG37:BG38"/>
    <mergeCell ref="AZ37:AZ38"/>
    <mergeCell ref="BA37:BA38"/>
    <mergeCell ref="BB37:BB38"/>
    <mergeCell ref="BC37:BC38"/>
    <mergeCell ref="AR37:AR38"/>
    <mergeCell ref="AS37:AS38"/>
    <mergeCell ref="AT37:AT38"/>
    <mergeCell ref="AU37:AU38"/>
    <mergeCell ref="AV37:AV38"/>
    <mergeCell ref="AW37:AW38"/>
    <mergeCell ref="AX37:AX38"/>
    <mergeCell ref="AY37:AY38"/>
    <mergeCell ref="BR37:BR38"/>
    <mergeCell ref="BH37:BH38"/>
    <mergeCell ref="BJ37:BJ38"/>
    <mergeCell ref="BK37:BK38"/>
    <mergeCell ref="BL37:BL38"/>
    <mergeCell ref="BM37:BM38"/>
    <mergeCell ref="BN37:BN38"/>
    <mergeCell ref="BO37:BO38"/>
    <mergeCell ref="BP37:BP38"/>
    <mergeCell ref="BQ37:BQ38"/>
    <mergeCell ref="BI37:BI38"/>
    <mergeCell ref="L37:L38"/>
    <mergeCell ref="M37:M38"/>
    <mergeCell ref="N37:N38"/>
    <mergeCell ref="P37:P38"/>
    <mergeCell ref="Q37:Q38"/>
    <mergeCell ref="S37:S38"/>
    <mergeCell ref="AH37:AH38"/>
    <mergeCell ref="AI37:AI38"/>
    <mergeCell ref="T37:T38"/>
    <mergeCell ref="U37:U38"/>
    <mergeCell ref="V37:V38"/>
    <mergeCell ref="AB37:AB38"/>
    <mergeCell ref="AC37:AC38"/>
    <mergeCell ref="AD37:AD38"/>
    <mergeCell ref="AE37:AE38"/>
    <mergeCell ref="AF37:AF38"/>
    <mergeCell ref="AG37:AG38"/>
    <mergeCell ref="BL41:BL42"/>
    <mergeCell ref="P24:P28"/>
    <mergeCell ref="Q24:Q28"/>
    <mergeCell ref="S24:S28"/>
    <mergeCell ref="T24:T28"/>
    <mergeCell ref="AR24:AR28"/>
    <mergeCell ref="AS24:AS28"/>
    <mergeCell ref="AT24:AT28"/>
    <mergeCell ref="AU24:AU28"/>
    <mergeCell ref="AJ24:AJ28"/>
    <mergeCell ref="AK24:AK28"/>
    <mergeCell ref="AL24:AL28"/>
    <mergeCell ref="P31:P35"/>
    <mergeCell ref="AD31:AD35"/>
    <mergeCell ref="V32:V33"/>
    <mergeCell ref="AB31:AB35"/>
    <mergeCell ref="AV24:AV28"/>
    <mergeCell ref="AW24:AW28"/>
    <mergeCell ref="AX24:AX28"/>
    <mergeCell ref="AY24:AY28"/>
    <mergeCell ref="AZ24:AZ28"/>
    <mergeCell ref="BD37:BD38"/>
    <mergeCell ref="BE37:BE38"/>
    <mergeCell ref="AQ37:AQ38"/>
    <mergeCell ref="AB21:AB22"/>
    <mergeCell ref="AC21:AC22"/>
    <mergeCell ref="V25:V26"/>
    <mergeCell ref="BA24:BA28"/>
    <mergeCell ref="AP24:AP28"/>
    <mergeCell ref="AQ24:AQ28"/>
    <mergeCell ref="V13:V14"/>
    <mergeCell ref="J34:J35"/>
    <mergeCell ref="K34:K35"/>
    <mergeCell ref="L34:L35"/>
    <mergeCell ref="AG13:AG19"/>
    <mergeCell ref="AZ13:AZ19"/>
    <mergeCell ref="BA13:BA19"/>
    <mergeCell ref="BB13:BB19"/>
    <mergeCell ref="AR13:AR19"/>
    <mergeCell ref="AI21:AI22"/>
    <mergeCell ref="AJ21:AJ22"/>
    <mergeCell ref="BB24:BB28"/>
    <mergeCell ref="AH21:AH22"/>
    <mergeCell ref="AM24:AM28"/>
    <mergeCell ref="AN24:AN28"/>
    <mergeCell ref="AO24:AO28"/>
    <mergeCell ref="AS13:AS19"/>
    <mergeCell ref="AT13:AT19"/>
    <mergeCell ref="AU13:AU19"/>
    <mergeCell ref="AV13:AV19"/>
    <mergeCell ref="AW13:AW19"/>
    <mergeCell ref="AX13:AX19"/>
    <mergeCell ref="AY13:AY19"/>
    <mergeCell ref="AJ13:AJ19"/>
    <mergeCell ref="AK13:AK19"/>
    <mergeCell ref="AL13:AL19"/>
    <mergeCell ref="AG21:AG22"/>
    <mergeCell ref="AD24:AD28"/>
    <mergeCell ref="AE24:AE28"/>
    <mergeCell ref="AF24:AF28"/>
    <mergeCell ref="AG24:AG28"/>
    <mergeCell ref="AH24:AH28"/>
    <mergeCell ref="AI24:AI28"/>
    <mergeCell ref="BB21:BB22"/>
    <mergeCell ref="AQ21:AQ22"/>
    <mergeCell ref="V21:V22"/>
    <mergeCell ref="AD21:AD22"/>
    <mergeCell ref="AR21:AR22"/>
    <mergeCell ref="AS21:AS22"/>
    <mergeCell ref="AT21:AT22"/>
    <mergeCell ref="AU21:AU22"/>
    <mergeCell ref="AV21:AV22"/>
    <mergeCell ref="AK21:AK22"/>
    <mergeCell ref="AL21:AL22"/>
    <mergeCell ref="AM21:AM22"/>
    <mergeCell ref="AN21:AN22"/>
    <mergeCell ref="AO21:AO22"/>
    <mergeCell ref="AP21:AP22"/>
    <mergeCell ref="V27:V28"/>
    <mergeCell ref="AE21:AE22"/>
    <mergeCell ref="AF21:AF22"/>
    <mergeCell ref="U18:U19"/>
    <mergeCell ref="V18:V19"/>
    <mergeCell ref="M18:M19"/>
    <mergeCell ref="N18:N19"/>
    <mergeCell ref="P18:P19"/>
    <mergeCell ref="AD13:AD19"/>
    <mergeCell ref="AB13:AB19"/>
    <mergeCell ref="J13:J15"/>
    <mergeCell ref="K13:K15"/>
    <mergeCell ref="T18:T19"/>
    <mergeCell ref="AC13:AC19"/>
    <mergeCell ref="L21:L22"/>
    <mergeCell ref="M21:M22"/>
    <mergeCell ref="N21:N22"/>
    <mergeCell ref="Q18:Q19"/>
    <mergeCell ref="S18:S19"/>
    <mergeCell ref="P21:P22"/>
    <mergeCell ref="R13:R15"/>
    <mergeCell ref="J18:J19"/>
    <mergeCell ref="K18:K19"/>
    <mergeCell ref="L18:L19"/>
    <mergeCell ref="T7:T9"/>
    <mergeCell ref="U7:U9"/>
    <mergeCell ref="Q21:Q22"/>
    <mergeCell ref="S21:S22"/>
    <mergeCell ref="A5:N6"/>
    <mergeCell ref="A7:A9"/>
    <mergeCell ref="B7:C9"/>
    <mergeCell ref="D7:D9"/>
    <mergeCell ref="E7:F9"/>
    <mergeCell ref="G7:G9"/>
    <mergeCell ref="H7:I9"/>
    <mergeCell ref="J7:J9"/>
    <mergeCell ref="K7:K9"/>
    <mergeCell ref="L7:L9"/>
    <mergeCell ref="M7:N8"/>
    <mergeCell ref="O7:O9"/>
    <mergeCell ref="L13:L15"/>
    <mergeCell ref="M13:M15"/>
    <mergeCell ref="N13:N15"/>
    <mergeCell ref="P13:P16"/>
    <mergeCell ref="T21:T22"/>
    <mergeCell ref="U21:U22"/>
    <mergeCell ref="J21:J22"/>
    <mergeCell ref="K21:K22"/>
    <mergeCell ref="BM8:BM9"/>
    <mergeCell ref="BP13:BP16"/>
    <mergeCell ref="AZ8:BA8"/>
    <mergeCell ref="BB8:BC8"/>
    <mergeCell ref="AF8:AG8"/>
    <mergeCell ref="AH8:AI8"/>
    <mergeCell ref="AD8:AE8"/>
    <mergeCell ref="P7:P9"/>
    <mergeCell ref="Q13:Q16"/>
    <mergeCell ref="S13:S16"/>
    <mergeCell ref="T13:T16"/>
    <mergeCell ref="U13:U16"/>
    <mergeCell ref="S7:S9"/>
    <mergeCell ref="AQ13:AQ19"/>
    <mergeCell ref="AR8:AS8"/>
    <mergeCell ref="AT8:AU8"/>
    <mergeCell ref="AV8:AW8"/>
    <mergeCell ref="AE13:AE19"/>
    <mergeCell ref="AF13:AF19"/>
    <mergeCell ref="AH13:AH19"/>
    <mergeCell ref="AI13:AI19"/>
    <mergeCell ref="Q7:Q9"/>
    <mergeCell ref="R7:R9"/>
    <mergeCell ref="AM13:AM19"/>
    <mergeCell ref="V7:V9"/>
    <mergeCell ref="AO13:AO19"/>
    <mergeCell ref="AP13:AP19"/>
    <mergeCell ref="BG13:BG19"/>
    <mergeCell ref="BE13:BE19"/>
    <mergeCell ref="BR13:BR16"/>
    <mergeCell ref="BR18:BR19"/>
    <mergeCell ref="BI18:BI19"/>
    <mergeCell ref="BJ18:BJ19"/>
    <mergeCell ref="BK18:BK19"/>
    <mergeCell ref="BI8:BI9"/>
    <mergeCell ref="BK8:BK9"/>
    <mergeCell ref="BQ13:BQ16"/>
    <mergeCell ref="BI13:BI16"/>
    <mergeCell ref="BJ13:BJ16"/>
    <mergeCell ref="BK13:BK16"/>
    <mergeCell ref="BN13:BN16"/>
    <mergeCell ref="AJ8:AK8"/>
    <mergeCell ref="AL8:AM8"/>
    <mergeCell ref="AN8:AO8"/>
    <mergeCell ref="AP8:AQ8"/>
    <mergeCell ref="AN13:AN19"/>
    <mergeCell ref="BP18:BP19"/>
    <mergeCell ref="BL8:BL9"/>
    <mergeCell ref="BR21:BR22"/>
    <mergeCell ref="BI21:BI22"/>
    <mergeCell ref="BJ21:BJ22"/>
    <mergeCell ref="BK21:BK22"/>
    <mergeCell ref="BN21:BN22"/>
    <mergeCell ref="BO21:BO22"/>
    <mergeCell ref="BP21:BP22"/>
    <mergeCell ref="BQ21:BQ22"/>
    <mergeCell ref="BM21:BM22"/>
    <mergeCell ref="BC24:BC28"/>
    <mergeCell ref="BF24:BF28"/>
    <mergeCell ref="BG24:BG28"/>
    <mergeCell ref="BD24:BD28"/>
    <mergeCell ref="BM13:BM16"/>
    <mergeCell ref="BH13:BH19"/>
    <mergeCell ref="BQ18:BQ19"/>
    <mergeCell ref="BO13:BO16"/>
    <mergeCell ref="BN18:BN19"/>
    <mergeCell ref="BO18:BO19"/>
    <mergeCell ref="BM18:BM19"/>
    <mergeCell ref="BH21:BH22"/>
    <mergeCell ref="BF13:BF19"/>
    <mergeCell ref="BE24:BE28"/>
    <mergeCell ref="BC21:BC22"/>
    <mergeCell ref="BF21:BF22"/>
    <mergeCell ref="BC13:BC19"/>
    <mergeCell ref="BD13:BD19"/>
    <mergeCell ref="BR24:BR28"/>
    <mergeCell ref="BH24:BH28"/>
    <mergeCell ref="BI24:BI28"/>
    <mergeCell ref="BJ24:BJ28"/>
    <mergeCell ref="BK24:BK28"/>
    <mergeCell ref="BM24:BM28"/>
    <mergeCell ref="BN24:BN28"/>
    <mergeCell ref="BO24:BO28"/>
    <mergeCell ref="BP24:BP28"/>
    <mergeCell ref="U24:U28"/>
    <mergeCell ref="AB24:AB28"/>
    <mergeCell ref="L27:L28"/>
    <mergeCell ref="M27:M28"/>
    <mergeCell ref="N27:N28"/>
    <mergeCell ref="K25:K26"/>
    <mergeCell ref="K27:K28"/>
    <mergeCell ref="J25:J26"/>
    <mergeCell ref="AS31:AS35"/>
    <mergeCell ref="AP31:AP35"/>
    <mergeCell ref="J32:J33"/>
    <mergeCell ref="K32:K33"/>
    <mergeCell ref="L32:L33"/>
    <mergeCell ref="M32:M33"/>
    <mergeCell ref="N32:N33"/>
    <mergeCell ref="AK31:AK35"/>
    <mergeCell ref="AL31:AL35"/>
    <mergeCell ref="AC31:AC35"/>
    <mergeCell ref="U31:U35"/>
    <mergeCell ref="AC24:AC28"/>
    <mergeCell ref="J27:J28"/>
    <mergeCell ref="N34:N35"/>
    <mergeCell ref="M34:M35"/>
    <mergeCell ref="V34:V35"/>
    <mergeCell ref="AT31:AT35"/>
    <mergeCell ref="AU31:AU35"/>
    <mergeCell ref="AV31:AV35"/>
    <mergeCell ref="AN31:AN35"/>
    <mergeCell ref="AE31:AE35"/>
    <mergeCell ref="AF31:AF35"/>
    <mergeCell ref="AG31:AG35"/>
    <mergeCell ref="AH31:AH35"/>
    <mergeCell ref="AI31:AI35"/>
    <mergeCell ref="AJ31:AJ35"/>
    <mergeCell ref="AM31:AM35"/>
    <mergeCell ref="AQ31:AQ35"/>
    <mergeCell ref="AR31:AR35"/>
    <mergeCell ref="AO31:AO35"/>
    <mergeCell ref="BO31:BO35"/>
    <mergeCell ref="BF31:BF35"/>
    <mergeCell ref="BG31:BG35"/>
    <mergeCell ref="BH31:BH35"/>
    <mergeCell ref="AW31:AW35"/>
    <mergeCell ref="AX31:AX35"/>
    <mergeCell ref="AY31:AY35"/>
    <mergeCell ref="AZ31:AZ35"/>
    <mergeCell ref="BA31:BA35"/>
    <mergeCell ref="BB31:BB35"/>
    <mergeCell ref="BC31:BC35"/>
    <mergeCell ref="BI31:BI35"/>
    <mergeCell ref="BJ31:BJ35"/>
    <mergeCell ref="BK31:BK35"/>
    <mergeCell ref="BN31:BN35"/>
    <mergeCell ref="BM31:BM35"/>
    <mergeCell ref="BD31:BD35"/>
    <mergeCell ref="BE31:BE35"/>
    <mergeCell ref="BP31:BP35"/>
    <mergeCell ref="AO41:AO42"/>
    <mergeCell ref="AP41:AP42"/>
    <mergeCell ref="AQ41:AQ42"/>
    <mergeCell ref="AR41:AR42"/>
    <mergeCell ref="BQ31:BQ35"/>
    <mergeCell ref="BR31:BR35"/>
    <mergeCell ref="BQ24:BQ28"/>
    <mergeCell ref="BM41:BM42"/>
    <mergeCell ref="BG41:BG42"/>
    <mergeCell ref="AY41:AY42"/>
    <mergeCell ref="AZ41:AZ42"/>
    <mergeCell ref="BA41:BA42"/>
    <mergeCell ref="BB41:BB42"/>
    <mergeCell ref="BC41:BC42"/>
    <mergeCell ref="BF41:BF42"/>
    <mergeCell ref="AU41:AU42"/>
    <mergeCell ref="AV41:AV42"/>
    <mergeCell ref="AW41:AW42"/>
    <mergeCell ref="AX41:AX42"/>
    <mergeCell ref="BN41:BN42"/>
    <mergeCell ref="BO41:BO42"/>
    <mergeCell ref="BP41:BP42"/>
    <mergeCell ref="BQ41:BQ42"/>
    <mergeCell ref="BR41:BR42"/>
    <mergeCell ref="BH41:BH42"/>
    <mergeCell ref="BI41:BI42"/>
    <mergeCell ref="BJ41:BJ42"/>
    <mergeCell ref="BK41:BK42"/>
    <mergeCell ref="A1:BP4"/>
    <mergeCell ref="O5:BR5"/>
    <mergeCell ref="O6:AA6"/>
    <mergeCell ref="BN6:BR6"/>
    <mergeCell ref="W7:Y8"/>
    <mergeCell ref="Z7:Z9"/>
    <mergeCell ref="AA7:AA9"/>
    <mergeCell ref="AB7:AE7"/>
    <mergeCell ref="AF7:AM7"/>
    <mergeCell ref="AN7:AY7"/>
    <mergeCell ref="AZ7:BE7"/>
    <mergeCell ref="AX8:AY8"/>
    <mergeCell ref="BF7:BG8"/>
    <mergeCell ref="BH7:BM7"/>
    <mergeCell ref="BN7:BO8"/>
    <mergeCell ref="BP7:BQ8"/>
    <mergeCell ref="BR7:BR9"/>
    <mergeCell ref="AB8:AC8"/>
    <mergeCell ref="BH8:BH9"/>
    <mergeCell ref="BJ8:BJ9"/>
    <mergeCell ref="BG21:BG22"/>
    <mergeCell ref="AW21:AW22"/>
    <mergeCell ref="AX21:AX22"/>
    <mergeCell ref="AY21:AY22"/>
    <mergeCell ref="AZ21:AZ22"/>
    <mergeCell ref="BA21:BA22"/>
    <mergeCell ref="BD21:BD22"/>
    <mergeCell ref="BE21:BE22"/>
    <mergeCell ref="N25:N26"/>
    <mergeCell ref="M25:M26"/>
    <mergeCell ref="L25:L26"/>
    <mergeCell ref="J41:J42"/>
    <mergeCell ref="K41:K42"/>
    <mergeCell ref="L41:L42"/>
    <mergeCell ref="M41:M42"/>
    <mergeCell ref="N41:N42"/>
    <mergeCell ref="BD8:BE8"/>
    <mergeCell ref="AL41:AL42"/>
    <mergeCell ref="AM41:AM42"/>
    <mergeCell ref="AN41:AN42"/>
    <mergeCell ref="AS41:AS42"/>
    <mergeCell ref="AT41:AT42"/>
    <mergeCell ref="BD41:BD42"/>
    <mergeCell ref="BE41:BE42"/>
    <mergeCell ref="AC41:AC42"/>
    <mergeCell ref="U41:U42"/>
    <mergeCell ref="V41:V42"/>
    <mergeCell ref="AB41:AB42"/>
    <mergeCell ref="P41:P42"/>
    <mergeCell ref="Q41:Q42"/>
    <mergeCell ref="S41:S42"/>
    <mergeCell ref="T41:T42"/>
    <mergeCell ref="Q31:Q35"/>
    <mergeCell ref="S31:S35"/>
    <mergeCell ref="T31:T35"/>
    <mergeCell ref="O41:O42"/>
    <mergeCell ref="R41:R42"/>
    <mergeCell ref="AJ41:AJ42"/>
    <mergeCell ref="AK41:AK42"/>
    <mergeCell ref="F47:I47"/>
    <mergeCell ref="F48:I48"/>
    <mergeCell ref="F46:J46"/>
    <mergeCell ref="AI41:AI42"/>
    <mergeCell ref="AD41:AD42"/>
    <mergeCell ref="AE41:AE42"/>
    <mergeCell ref="AF41:AF42"/>
    <mergeCell ref="AG41:AG42"/>
    <mergeCell ref="AH41:AH42"/>
    <mergeCell ref="W41:W42"/>
    <mergeCell ref="Z41:Z42"/>
    <mergeCell ref="AA41:AA42"/>
    <mergeCell ref="X41:X42"/>
    <mergeCell ref="Y41:Y42"/>
    <mergeCell ref="G37:I38"/>
    <mergeCell ref="J37:J38"/>
    <mergeCell ref="K37:K38"/>
  </mergeCells>
  <pageMargins left="0.70866141732283472" right="0.70866141732283472" top="0.74803149606299213" bottom="0.74803149606299213" header="0.31496062992125984" footer="0.31496062992125984"/>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POAI MARZO 31-2020</vt:lpstr>
      <vt:lpstr>MP INDEPORTES</vt:lpstr>
      <vt:lpstr>SGTO PLAN ACCION</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AUXPLANEACION32</dc:creator>
  <cp:lastModifiedBy>Sub-Area Tenica</cp:lastModifiedBy>
  <dcterms:created xsi:type="dcterms:W3CDTF">2020-04-13T20:12:34Z</dcterms:created>
  <dcterms:modified xsi:type="dcterms:W3CDTF">2020-11-10T20:43:11Z</dcterms:modified>
</cp:coreProperties>
</file>